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olors1.xml" ContentType="application/vnd.ms-office.chartcolorstyle+xml"/>
  <Override PartName="/xl/charts/style1.xml" ContentType="application/vnd.ms-office.chartsty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网站模板\产品模版\发票\"/>
    </mc:Choice>
  </mc:AlternateContent>
  <bookViews>
    <workbookView windowWidth="23040" windowHeight="9060" firstSheet="5" activeTab="5"/>
  </bookViews>
  <sheets>
    <sheet name="Dashboard" sheetId="1" r:id="rId1"/>
    <sheet name="Invoice Log" sheetId="2" r:id="rId2"/>
    <sheet name="Client Database" sheetId="3" r:id="rId3"/>
    <sheet name="Invoice Template" sheetId="4" r:id="rId4"/>
    <sheet name="Payment Tracker" sheetId="5" r:id="rId5"/>
    <sheet name="Service Catalog" sheetId="6" r:id="rId6"/>
    <sheet name="Reports" sheetId="7" r:id="rId7"/>
    <sheet name="Instructions" sheetId="8" r:id="rId8"/>
    <sheet name="Charts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<sst xmlns="http://schemas.openxmlformats.org/spreadsheetml/2006/main" count="705" uniqueCount="380">
  <si>
    <t>Invoice Dashboard</t>
  </si>
  <si>
    <t>Real-Time Invoice &amp; Revenue Overview</t>
  </si>
  <si>
    <t>Total Revenue</t>
  </si>
  <si>
    <t>Total Invoiced</t>
  </si>
  <si>
    <t>Outstanding Amount</t>
  </si>
  <si>
    <t>Overdue Amount</t>
  </si>
  <si>
    <t>All time</t>
  </si>
  <si>
    <t>Total billed</t>
  </si>
  <si>
    <t>Awaiting payment</t>
  </si>
  <si>
    <t>Past due</t>
  </si>
  <si>
    <t>Paid This Month</t>
  </si>
  <si>
    <t>Avg Invoice Value</t>
  </si>
  <si>
    <t>Invoice Count</t>
  </si>
  <si>
    <t>Collection Rate</t>
  </si>
  <si>
    <t>Collected</t>
  </si>
  <si>
    <t>Per invoice</t>
  </si>
  <si>
    <t>Total invoices</t>
  </si>
  <si>
    <t>Collection %</t>
  </si>
  <si>
    <t>Monthly Revenue Summary</t>
  </si>
  <si>
    <t>Month</t>
  </si>
  <si>
    <t>Invoices</t>
  </si>
  <si>
    <t>Total Billed</t>
  </si>
  <si>
    <t>Outstanding</t>
  </si>
  <si>
    <t>Jan 2024</t>
  </si>
  <si>
    <t>Feb 2024</t>
  </si>
  <si>
    <t>Mar 2024</t>
  </si>
  <si>
    <t>Apr 2024</t>
  </si>
  <si>
    <t>May 2024</t>
  </si>
  <si>
    <t>Jun 2024</t>
  </si>
  <si>
    <t>Jul 2024</t>
  </si>
  <si>
    <t>Aug 2024</t>
  </si>
  <si>
    <t>Sep 2024</t>
  </si>
  <si>
    <t>Oct 2024</t>
  </si>
  <si>
    <t>Nov 2024</t>
  </si>
  <si>
    <t>Dec 2024</t>
  </si>
  <si>
    <t>TOTAL</t>
  </si>
  <si>
    <t>Invoice #</t>
  </si>
  <si>
    <t>Date</t>
  </si>
  <si>
    <t>Client</t>
  </si>
  <si>
    <t>Service Description</t>
  </si>
  <si>
    <t>Qty</t>
  </si>
  <si>
    <t>Unit Price</t>
  </si>
  <si>
    <t>Total</t>
  </si>
  <si>
    <t>Status</t>
  </si>
  <si>
    <t>Due Date</t>
  </si>
  <si>
    <t>Payment Date</t>
  </si>
  <si>
    <t>INV-20240001</t>
  </si>
  <si>
    <t>2024-01-01</t>
  </si>
  <si>
    <t>Acme Corp</t>
  </si>
  <si>
    <t>Web Development</t>
  </si>
  <si>
    <t>Paid</t>
  </si>
  <si>
    <t>2024-02-28</t>
  </si>
  <si>
    <t>INV-20240002</t>
  </si>
  <si>
    <t>2024-02-04</t>
  </si>
  <si>
    <t>TechStart Inc</t>
  </si>
  <si>
    <t>Logo Design</t>
  </si>
  <si>
    <t>2024-03-28</t>
  </si>
  <si>
    <t>INV-20240003</t>
  </si>
  <si>
    <t>2024-03-07</t>
  </si>
  <si>
    <t>Global Media</t>
  </si>
  <si>
    <t>SEO Optimization</t>
  </si>
  <si>
    <t>2024-04-28</t>
  </si>
  <si>
    <t>INV-20240004</t>
  </si>
  <si>
    <t>2024-04-10</t>
  </si>
  <si>
    <t>Smith &amp; Associates</t>
  </si>
  <si>
    <t>Brand Strategy</t>
  </si>
  <si>
    <t>2024-05-28</t>
  </si>
  <si>
    <t>INV-20240005</t>
  </si>
  <si>
    <t>2024-05-13</t>
  </si>
  <si>
    <t>BlueWave Design</t>
  </si>
  <si>
    <t>UI/UX Design</t>
  </si>
  <si>
    <t>2024-06-28</t>
  </si>
  <si>
    <t>INV-20240006</t>
  </si>
  <si>
    <t>2024-06-16</t>
  </si>
  <si>
    <t>Vertex Solutions</t>
  </si>
  <si>
    <t>Content Writing</t>
  </si>
  <si>
    <t>2024-07-28</t>
  </si>
  <si>
    <t>INV-20240007</t>
  </si>
  <si>
    <t>2024-07-19</t>
  </si>
  <si>
    <t>Pinnacle Group</t>
  </si>
  <si>
    <t>Social Media Management</t>
  </si>
  <si>
    <t>2024-08-28</t>
  </si>
  <si>
    <t>INV-20240008</t>
  </si>
  <si>
    <t>2024-08-22</t>
  </si>
  <si>
    <t>Nova Digital</t>
  </si>
  <si>
    <t>Mobile App Development</t>
  </si>
  <si>
    <t>2024-09-28</t>
  </si>
  <si>
    <t>INV-20240009</t>
  </si>
  <si>
    <t>2024-09-25</t>
  </si>
  <si>
    <t>Summit Partners</t>
  </si>
  <si>
    <t>Consulting</t>
  </si>
  <si>
    <t>2024-10-28</t>
  </si>
  <si>
    <t>INV-20240010</t>
  </si>
  <si>
    <t>Atlas Consulting</t>
  </si>
  <si>
    <t>Photography</t>
  </si>
  <si>
    <t>2024-11-28</t>
  </si>
  <si>
    <t>INV-20240011</t>
  </si>
  <si>
    <t>2024-11-03</t>
  </si>
  <si>
    <t>2024-12-28</t>
  </si>
  <si>
    <t>INV-20240012</t>
  </si>
  <si>
    <t>2024-12-06</t>
  </si>
  <si>
    <t>INV-20240013</t>
  </si>
  <si>
    <t>2024-01-09</t>
  </si>
  <si>
    <t>INV-20240014</t>
  </si>
  <si>
    <t>2024-02-12</t>
  </si>
  <si>
    <t>INV-20240015</t>
  </si>
  <si>
    <t>2024-03-15</t>
  </si>
  <si>
    <t>INV-20240016</t>
  </si>
  <si>
    <t>2024-04-18</t>
  </si>
  <si>
    <t>INV-20240017</t>
  </si>
  <si>
    <t>2024-05-21</t>
  </si>
  <si>
    <t>INV-20240018</t>
  </si>
  <si>
    <t>2024-06-24</t>
  </si>
  <si>
    <t/>
  </si>
  <si>
    <t>INV-20240019</t>
  </si>
  <si>
    <t>2024-07-27</t>
  </si>
  <si>
    <t>INV-20240020</t>
  </si>
  <si>
    <t>2024-08-02</t>
  </si>
  <si>
    <t>Overdue</t>
  </si>
  <si>
    <t>INV-20240021</t>
  </si>
  <si>
    <t>2024-09-05</t>
  </si>
  <si>
    <t>INV-20240022</t>
  </si>
  <si>
    <t>2024-10-08</t>
  </si>
  <si>
    <t>INV-20240023</t>
  </si>
  <si>
    <t>2024-11-11</t>
  </si>
  <si>
    <t>INV-20240024</t>
  </si>
  <si>
    <t>2024-12-14</t>
  </si>
  <si>
    <t>INV-20240025</t>
  </si>
  <si>
    <t>2024-01-17</t>
  </si>
  <si>
    <t>Client Database</t>
  </si>
  <si>
    <t>Client ID</t>
  </si>
  <si>
    <t>Company Name</t>
  </si>
  <si>
    <t>Contact Person</t>
  </si>
  <si>
    <t>Email</t>
  </si>
  <si>
    <t>Phone</t>
  </si>
  <si>
    <t>Address</t>
  </si>
  <si>
    <t>Industry</t>
  </si>
  <si>
    <t>Payment Terms</t>
  </si>
  <si>
    <t>CLT-001</t>
  </si>
  <si>
    <t>John Smith</t>
  </si>
  <si>
    <t>john@acme.com</t>
  </si>
  <si>
    <t>+1-555-0101</t>
  </si>
  <si>
    <t>123 Business Ave, NY</t>
  </si>
  <si>
    <t>Technology</t>
  </si>
  <si>
    <t>Net 30</t>
  </si>
  <si>
    <t>CLT-002</t>
  </si>
  <si>
    <t>Sarah Johnson</t>
  </si>
  <si>
    <t>sarah@techstart.com</t>
  </si>
  <si>
    <t>+1-555-0102</t>
  </si>
  <si>
    <t>456 Innovation Dr, SF</t>
  </si>
  <si>
    <t>Startup</t>
  </si>
  <si>
    <t>Net 15</t>
  </si>
  <si>
    <t>CLT-003</t>
  </si>
  <si>
    <t>Mike Chen</t>
  </si>
  <si>
    <t>mike@globalmedia.com</t>
  </si>
  <si>
    <t>+1-555-0103</t>
  </si>
  <si>
    <t>789 Media Blvd, LA</t>
  </si>
  <si>
    <t>Media</t>
  </si>
  <si>
    <t>CLT-004</t>
  </si>
  <si>
    <t>Lisa Smith</t>
  </si>
  <si>
    <t>lisa@smithassoc.com</t>
  </si>
  <si>
    <t>+1-555-0104</t>
  </si>
  <si>
    <t>321 Legal St, Chicago</t>
  </si>
  <si>
    <t>Legal</t>
  </si>
  <si>
    <t>Net 45</t>
  </si>
  <si>
    <t>CLT-005</t>
  </si>
  <si>
    <t>Tom Wilson</t>
  </si>
  <si>
    <t>tom@bluewave.com</t>
  </si>
  <si>
    <t>+1-555-0105</t>
  </si>
  <si>
    <t>654 Creative Ave, Portland</t>
  </si>
  <si>
    <t>Design</t>
  </si>
  <si>
    <t>CLT-006</t>
  </si>
  <si>
    <t>Emma Davis</t>
  </si>
  <si>
    <t>emma@vertex.com</t>
  </si>
  <si>
    <t>+1-555-0106</t>
  </si>
  <si>
    <t>987 Solution Rd, Austin</t>
  </si>
  <si>
    <t>CLT-007</t>
  </si>
  <si>
    <t>David Brown</t>
  </si>
  <si>
    <t>david@pinnacle.com</t>
  </si>
  <si>
    <t>+1-555-0107</t>
  </si>
  <si>
    <t>147 Summit Ln, Denver</t>
  </si>
  <si>
    <t>Finance</t>
  </si>
  <si>
    <t>Net 60</t>
  </si>
  <si>
    <t>CLT-008</t>
  </si>
  <si>
    <t>Rachel Lee</t>
  </si>
  <si>
    <t>rachel@nova.com</t>
  </si>
  <si>
    <t>+1-555-0108</t>
  </si>
  <si>
    <t>258 Digital Way, Seattle</t>
  </si>
  <si>
    <t>Marketing</t>
  </si>
  <si>
    <t>CLT-009</t>
  </si>
  <si>
    <t>Chris Taylor</t>
  </si>
  <si>
    <t>chris@summit.com</t>
  </si>
  <si>
    <t>+1-555-0109</t>
  </si>
  <si>
    <t>369 Partner St, Boston</t>
  </si>
  <si>
    <t>Investment</t>
  </si>
  <si>
    <t>CLT-010</t>
  </si>
  <si>
    <t>Amy White</t>
  </si>
  <si>
    <t>amy@atlas.com</t>
  </si>
  <si>
    <t>+1-555-0110</t>
  </si>
  <si>
    <t>741 Atlas Dr, Miami</t>
  </si>
  <si>
    <t>CLT-011</t>
  </si>
  <si>
    <t>Horizon Labs</t>
  </si>
  <si>
    <t>James Kim</t>
  </si>
  <si>
    <t>james@horizon.com</t>
  </si>
  <si>
    <t>+1-555-0111</t>
  </si>
  <si>
    <t>852 Lab Ave, San Diego</t>
  </si>
  <si>
    <t>R&amp;D</t>
  </si>
  <si>
    <t>CLT-012</t>
  </si>
  <si>
    <t>Catalyst Media</t>
  </si>
  <si>
    <t>Nina Patel</t>
  </si>
  <si>
    <t>nina@catalyst.com</t>
  </si>
  <si>
    <t>+1-555-0112</t>
  </si>
  <si>
    <t>963 Catalyst Rd, Nashville</t>
  </si>
  <si>
    <t>Entertainment</t>
  </si>
  <si>
    <t>CLT-013</t>
  </si>
  <si>
    <t>Forge Industries</t>
  </si>
  <si>
    <t>Robert Zhang</t>
  </si>
  <si>
    <t>robert@forge.com</t>
  </si>
  <si>
    <t>+1-555-0113</t>
  </si>
  <si>
    <t>159 Forge St, Detroit</t>
  </si>
  <si>
    <t>Manufacturing</t>
  </si>
  <si>
    <t>CLT-014</t>
  </si>
  <si>
    <t>Bloom Marketing</t>
  </si>
  <si>
    <t>Olivia Garcia</t>
  </si>
  <si>
    <t>olivia@bloom.com</t>
  </si>
  <si>
    <t>+1-555-0114</t>
  </si>
  <si>
    <t>357 Bloom Ave, Phoenix</t>
  </si>
  <si>
    <t>CLT-015</t>
  </si>
  <si>
    <t>Apex Software</t>
  </si>
  <si>
    <t>Kevin Murphy</t>
  </si>
  <si>
    <t>kevin@apex.com</t>
  </si>
  <si>
    <t>+1-555-0115</t>
  </si>
  <si>
    <t>468 Apex Dr, Raleigh</t>
  </si>
  <si>
    <t>YOUR COMPANY NAME</t>
  </si>
  <si>
    <t>123 Business Street, Suite 100 | New York, NY 10001</t>
  </si>
  <si>
    <t>Phone: +1 (555) 000-0000 | Email: billing@yourcompany.com</t>
  </si>
  <si>
    <t>INVOICE</t>
  </si>
  <si>
    <t>Invoice #:</t>
  </si>
  <si>
    <t>INV-2024-0001</t>
  </si>
  <si>
    <t>BILL TO:</t>
  </si>
  <si>
    <t>Date:</t>
  </si>
  <si>
    <t>January 15, 2024</t>
  </si>
  <si>
    <t>Due Date:</t>
  </si>
  <si>
    <t>February 14, 2024</t>
  </si>
  <si>
    <t>Payment Terms:</t>
  </si>
  <si>
    <t>123 Business Ave</t>
  </si>
  <si>
    <t>New York, NY 10001</t>
  </si>
  <si>
    <t>#</t>
  </si>
  <si>
    <t>Description</t>
  </si>
  <si>
    <t>Tax</t>
  </si>
  <si>
    <t>Amount</t>
  </si>
  <si>
    <t>Web Development - Full Website Redesign</t>
  </si>
  <si>
    <t>UI/UX Design - Dashboard Interface</t>
  </si>
  <si>
    <t>SEO Optimization - Monthly Package</t>
  </si>
  <si>
    <t>Content Writing - Blog Posts (10 articles)</t>
  </si>
  <si>
    <t>Hosting &amp; Maintenance - Annual</t>
  </si>
  <si>
    <t>Subtotal:</t>
  </si>
  <si>
    <t>Tax (10%):</t>
  </si>
  <si>
    <t>Discount:</t>
  </si>
  <si>
    <t>TOTAL DUE:</t>
  </si>
  <si>
    <t>Payment Information</t>
  </si>
  <si>
    <t>Bank: First National Bank</t>
  </si>
  <si>
    <t>Account: 1234-5678-9012</t>
  </si>
  <si>
    <t>Routing: 021000021</t>
  </si>
  <si>
    <t>Payment Methods: Bank Transfer, Credit Card, PayPal</t>
  </si>
  <si>
    <t>Thank you for your business!</t>
  </si>
  <si>
    <t>Payment Tracker</t>
  </si>
  <si>
    <t>Invoice Date</t>
  </si>
  <si>
    <t>Amount Paid</t>
  </si>
  <si>
    <t>Balance</t>
  </si>
  <si>
    <t>Payment Method</t>
  </si>
  <si>
    <t>Notes</t>
  </si>
  <si>
    <t>2024-02-01</t>
  </si>
  <si>
    <t>Bank Transfer</t>
  </si>
  <si>
    <t>2024-03-04</t>
  </si>
  <si>
    <t>Credit Card</t>
  </si>
  <si>
    <t>2024-04-07</t>
  </si>
  <si>
    <t>PayPal</t>
  </si>
  <si>
    <t>2024-05-10</t>
  </si>
  <si>
    <t>2024-06-13</t>
  </si>
  <si>
    <t>2024-07-16</t>
  </si>
  <si>
    <t>2024-08-19</t>
  </si>
  <si>
    <t>2024-09-22</t>
  </si>
  <si>
    <t>2024-10-25</t>
  </si>
  <si>
    <t>2024-12-03</t>
  </si>
  <si>
    <t>2024-02-09</t>
  </si>
  <si>
    <t>2024-03-12</t>
  </si>
  <si>
    <t>2024-04-15</t>
  </si>
  <si>
    <t>2024-05-18</t>
  </si>
  <si>
    <t>2024-06-21</t>
  </si>
  <si>
    <t>2024-07-24</t>
  </si>
  <si>
    <t>Follow up sent</t>
  </si>
  <si>
    <t>2024-08-27</t>
  </si>
  <si>
    <t>OVERDUE - Escalate</t>
  </si>
  <si>
    <t>2024-09-02</t>
  </si>
  <si>
    <t>Service &amp; Product Catalog</t>
  </si>
  <si>
    <t>Service ID</t>
  </si>
  <si>
    <t>Service Name</t>
  </si>
  <si>
    <t>Category</t>
  </si>
  <si>
    <t>Unit</t>
  </si>
  <si>
    <t>Tax Rate</t>
  </si>
  <si>
    <t>SVC-001</t>
  </si>
  <si>
    <t>Development</t>
  </si>
  <si>
    <t>Custom website design and development</t>
  </si>
  <si>
    <t>Project</t>
  </si>
  <si>
    <t>Active</t>
  </si>
  <si>
    <t>SVC-002</t>
  </si>
  <si>
    <t>Professional logo design with 3 concepts</t>
  </si>
  <si>
    <t>SVC-003</t>
  </si>
  <si>
    <t>Monthly SEO package with reporting</t>
  </si>
  <si>
    <t>SVC-004</t>
  </si>
  <si>
    <t>Complete brand identity and strategy</t>
  </si>
  <si>
    <t>SVC-005</t>
  </si>
  <si>
    <t>User interface and experience design</t>
  </si>
  <si>
    <t>SVC-006</t>
  </si>
  <si>
    <t>SEO-optimized blog posts and articles</t>
  </si>
  <si>
    <t>Article</t>
  </si>
  <si>
    <t>SVC-007</t>
  </si>
  <si>
    <t>Social Media Mgmt</t>
  </si>
  <si>
    <t>Monthly social media management</t>
  </si>
  <si>
    <t>SVC-008</t>
  </si>
  <si>
    <t>Mobile App Dev</t>
  </si>
  <si>
    <t>iOS/Android mobile application</t>
  </si>
  <si>
    <t>SVC-009</t>
  </si>
  <si>
    <t>Business and technology consulting</t>
  </si>
  <si>
    <t>Hour</t>
  </si>
  <si>
    <t>SVC-010</t>
  </si>
  <si>
    <t>Creative</t>
  </si>
  <si>
    <t>Professional photography session</t>
  </si>
  <si>
    <t>Session</t>
  </si>
  <si>
    <t>SVC-011</t>
  </si>
  <si>
    <t>Video Production</t>
  </si>
  <si>
    <t>Corporate video production</t>
  </si>
  <si>
    <t>SVC-012</t>
  </si>
  <si>
    <t>Email Marketing</t>
  </si>
  <si>
    <t>Email campaign setup and management</t>
  </si>
  <si>
    <t>SVC-013</t>
  </si>
  <si>
    <t>Hosting &amp; Maintenance</t>
  </si>
  <si>
    <t>Website hosting and maintenance</t>
  </si>
  <si>
    <t>SVC-014</t>
  </si>
  <si>
    <t>Data Analytics</t>
  </si>
  <si>
    <t>Business data analysis and reporting</t>
  </si>
  <si>
    <t>SVC-015</t>
  </si>
  <si>
    <t>Training Workshop</t>
  </si>
  <si>
    <t>Custom training workshops</t>
  </si>
  <si>
    <t>Day</t>
  </si>
  <si>
    <t>Invoice Reports</t>
  </si>
  <si>
    <t>Revenue by Client</t>
  </si>
  <si>
    <t>Total Paid</t>
  </si>
  <si>
    <t>Avg Invoice</t>
  </si>
  <si>
    <t>Revenue by Service</t>
  </si>
  <si>
    <t>Service</t>
  </si>
  <si>
    <t>% of Total</t>
  </si>
  <si>
    <t>How to Use Invoice Template Pro</t>
  </si>
  <si>
    <t>Complete guide to managing your invoices professionally</t>
  </si>
  <si>
    <t>Step 1: Set Up Your Company Info</t>
  </si>
  <si>
    <t>Open the 'Invoice Template' sheet and replace 'YOUR COMPANY NAME' with your actual company name, address, phone, and email.</t>
  </si>
  <si>
    <t>Step 2: Add Your Clients</t>
  </si>
  <si>
    <t>Go to 'Client Database' sheet and add your client information. Use the dropdown menus for Industry and Payment Terms.</t>
  </si>
  <si>
    <t>Step 3: Configure Services</t>
  </si>
  <si>
    <t>In 'Service Catalog', add all your services with descriptions, units, and pricing. This makes invoice creation faster.</t>
  </si>
  <si>
    <t>Step 4: Create Invoices</t>
  </si>
  <si>
    <t>Use the 'Invoice Template' sheet to create new invoices. Fill in client details, add line items, and the totals calculate automatically.</t>
  </si>
  <si>
    <t>Step 5: Log All Invoices</t>
  </si>
  <si>
    <t>Record every invoice in 'Invoice Log' to track all billing activity. Use dropdown for Status (Paid/Outstanding/Overdue).</t>
  </si>
  <si>
    <t>Step 6: Track Payments</t>
  </si>
  <si>
    <t>Update 'Payment Tracker' when payments are received. Record payment method and date for your records.</t>
  </si>
  <si>
    <t>Step 7: Monitor Dashboard</t>
  </si>
  <si>
    <t>Check 'Dashboard' regularly to see KPIs, monthly revenue trends, and collection rates at a glance.</t>
  </si>
  <si>
    <t>Step 8: Generate Reports</t>
  </si>
  <si>
    <t>Use 'Reports' sheet to analyze revenue by client and service. Charts sheet provides visual insights.</t>
  </si>
  <si>
    <t>💡 Pro Tips</t>
  </si>
  <si>
    <t>• Use consistent invoice numbering (INV-YYYY-NNNN) for easy reference</t>
  </si>
  <si>
    <t>• Set payment reminders 3 days before due date for outstanding invoices</t>
  </si>
  <si>
    <t>• Color-code your clients by industry for quick visual identification</t>
  </si>
  <si>
    <t>• Back up your file monthly to prevent data loss</t>
  </si>
  <si>
    <t>• Use the Service Catalog to maintain consistent pricing across all invoices</t>
  </si>
  <si>
    <t>• Review the Dashboard weekly to stay on top of cash flow</t>
  </si>
  <si>
    <t>Invoice Analytics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</si>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</sst>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\$#,##0.00"/>
  </numFmts>
  <fonts count="38">
    <font>
      <sz val="11"/>
      <color theme="1"/>
      <name val="宋体"/>
      <charset val="134"/>
      <scheme val="minor"/>
    </font>
    <font>
      <b/>
      <sz val="16"/>
      <color rgb="FF1F4E79"/>
      <name val="Calibri"/>
      <charset val="134"/>
    </font>
    <font>
      <b/>
      <sz val="18"/>
      <color rgb="FF1F4E79"/>
      <name val="Calibri"/>
      <charset val="134"/>
    </font>
    <font>
      <i/>
      <sz val="11"/>
      <color rgb="FF808080"/>
      <name val="Calibri"/>
      <charset val="134"/>
    </font>
    <font>
      <b/>
      <sz val="12"/>
      <color rgb="FF2E75B6"/>
      <name val="Calibri"/>
      <charset val="134"/>
    </font>
    <font>
      <sz val="11"/>
      <name val="Calibri"/>
      <charset val="134"/>
    </font>
    <font>
      <b/>
      <sz val="14"/>
      <color rgb="FF1F4E79"/>
      <name val="Calibri"/>
      <charset val="134"/>
    </font>
    <font>
      <b/>
      <sz val="11"/>
      <color rgb="FFFFFFFF"/>
      <name val="Calibri"/>
      <charset val="134"/>
    </font>
    <font>
      <b/>
      <sz val="11"/>
      <name val="Calibri"/>
      <charset val="134"/>
    </font>
    <font>
      <b/>
      <sz val="22"/>
      <color rgb="FF1F4E79"/>
      <name val="Calibri"/>
      <charset val="134"/>
    </font>
    <font>
      <sz val="10"/>
      <color rgb="FF666666"/>
      <name val="Calibri"/>
      <charset val="134"/>
    </font>
    <font>
      <b/>
      <sz val="28"/>
      <color rgb="FF2E75B6"/>
      <name val="Calibri"/>
      <charset val="134"/>
    </font>
    <font>
      <b/>
      <sz val="10"/>
      <color rgb="FF666666"/>
      <name val="Calibri"/>
      <charset val="134"/>
    </font>
    <font>
      <sz val="10"/>
      <name val="Calibri"/>
      <charset val="134"/>
    </font>
    <font>
      <b/>
      <sz val="12"/>
      <color rgb="FF1F4E79"/>
      <name val="Calibri"/>
      <charset val="134"/>
    </font>
    <font>
      <b/>
      <sz val="12"/>
      <color rgb="FF70AD47"/>
      <name val="Calibri"/>
      <charset val="134"/>
    </font>
    <font>
      <b/>
      <sz val="9"/>
      <color rgb="FF666666"/>
      <name val="Calibri"/>
      <charset val="134"/>
    </font>
    <font>
      <i/>
      <sz val="8"/>
      <color rgb="FF999999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4B4B"/>
        <bgColor rgb="FFFF4B4B"/>
      </patternFill>
    </fill>
    <fill>
      <patternFill patternType="solid">
        <fgColor rgb="FFF2F2F2"/>
        <bgColor rgb="FFF2F2F2"/>
      </patternFill>
    </fill>
    <fill>
      <patternFill patternType="solid">
        <fgColor rgb="FFFFC000"/>
        <bgColor rgb="FFFFC000"/>
      </patternFill>
    </fill>
    <fill>
      <patternFill patternType="solid">
        <fgColor rgb="FF7030A0"/>
        <bgColor rgb="FF7030A0"/>
      </patternFill>
    </fill>
    <fill>
      <patternFill patternType="solid">
        <fgColor rgb="FF1F4E79"/>
        <bgColor rgb="FF1F4E79"/>
      </patternFill>
    </fill>
    <fill>
      <patternFill patternType="solid">
        <fgColor rgb="FF70AD47"/>
        <bgColor rgb="FF70AD47"/>
      </patternFill>
    </fill>
    <fill>
      <patternFill patternType="solid">
        <fgColor rgb="FFD6E4F0"/>
        <bgColor rgb="FFD6E4F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9" borderId="2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3" applyNumberFormat="0" applyFill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10" borderId="5" applyNumberFormat="0" applyAlignment="0" applyProtection="0">
      <alignment vertical="center"/>
    </xf>
    <xf numFmtId="0" fontId="28" fillId="11" borderId="6" applyNumberFormat="0" applyAlignment="0" applyProtection="0">
      <alignment vertical="center"/>
    </xf>
    <xf numFmtId="0" fontId="29" fillId="11" borderId="5" applyNumberFormat="0" applyAlignment="0" applyProtection="0">
      <alignment vertical="center"/>
    </xf>
    <xf numFmtId="0" fontId="30" fillId="12" borderId="7" applyNumberFormat="0" applyAlignment="0" applyProtection="0">
      <alignment vertical="center"/>
    </xf>
    <xf numFmtId="0" fontId="31" fillId="0" borderId="8" applyNumberFormat="0" applyFill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35" borderId="0" applyNumberFormat="0" applyBorder="0" applyAlignment="0" applyProtection="0">
      <alignment vertical="center"/>
    </xf>
    <xf numFmtId="0" fontId="36" fillId="36" borderId="0" applyNumberFormat="0" applyBorder="0" applyAlignment="0" applyProtection="0">
      <alignment vertical="center"/>
    </xf>
    <xf numFmtId="0" fontId="37" fillId="37" borderId="0" applyNumberFormat="0" applyBorder="0" applyAlignment="0" applyProtection="0">
      <alignment vertical="center"/>
    </xf>
    <xf numFmtId="0" fontId="37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wrapText="1"/>
    </xf>
    <xf numFmtId="0" fontId="6" fillId="0" borderId="0" xfId="0" applyFont="1"/>
    <xf numFmtId="0" fontId="5" fillId="0" borderId="0" xfId="0" applyFont="1"/>
    <xf numFmtId="0" fontId="7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176" fontId="5" fillId="0" borderId="1" xfId="0" applyNumberFormat="1" applyFont="1" applyBorder="1" applyAlignment="1">
      <alignment vertical="center"/>
    </xf>
    <xf numFmtId="0" fontId="5" fillId="3" borderId="1" xfId="0" applyFont="1" applyFill="1" applyBorder="1" applyAlignment="1">
      <alignment vertical="center"/>
    </xf>
    <xf numFmtId="176" fontId="5" fillId="3" borderId="1" xfId="0" applyNumberFormat="1" applyFont="1" applyFill="1" applyBorder="1" applyAlignment="1">
      <alignment vertical="center"/>
    </xf>
    <xf numFmtId="9" fontId="5" fillId="0" borderId="1" xfId="0" applyNumberFormat="1" applyFont="1" applyBorder="1" applyAlignment="1">
      <alignment vertical="center"/>
    </xf>
    <xf numFmtId="9" fontId="5" fillId="3" borderId="1" xfId="0" applyNumberFormat="1" applyFont="1" applyFill="1" applyBorder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8" fillId="0" borderId="0" xfId="0" applyFont="1"/>
    <xf numFmtId="176" fontId="8" fillId="0" borderId="0" xfId="0" applyNumberFormat="1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7" fillId="6" borderId="0" xfId="0" applyFont="1" applyFill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176" fontId="5" fillId="0" borderId="1" xfId="0" applyNumberFormat="1" applyFont="1" applyBorder="1"/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/>
    <xf numFmtId="176" fontId="5" fillId="3" borderId="1" xfId="0" applyNumberFormat="1" applyFont="1" applyFill="1" applyBorder="1"/>
    <xf numFmtId="0" fontId="8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176" fontId="0" fillId="0" borderId="0" xfId="0" applyNumberFormat="1"/>
    <xf numFmtId="0" fontId="6" fillId="0" borderId="0" xfId="0" applyFont="1" applyAlignment="1">
      <alignment horizontal="right"/>
    </xf>
    <xf numFmtId="176" fontId="6" fillId="0" borderId="0" xfId="0" applyNumberFormat="1" applyFont="1"/>
    <xf numFmtId="0" fontId="14" fillId="0" borderId="0" xfId="0" applyFont="1"/>
    <xf numFmtId="0" fontId="15" fillId="0" borderId="0" xfId="0" applyFont="1" applyAlignment="1">
      <alignment horizontal="center"/>
    </xf>
    <xf numFmtId="0" fontId="7" fillId="7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6" fillId="8" borderId="1" xfId="0" applyFont="1" applyFill="1" applyBorder="1"/>
    <xf numFmtId="0" fontId="0" fillId="8" borderId="1" xfId="0" applyFill="1" applyBorder="1"/>
    <xf numFmtId="176" fontId="6" fillId="8" borderId="1" xfId="0" applyNumberFormat="1" applyFont="1" applyFill="1" applyBorder="1"/>
    <xf numFmtId="0" fontId="17" fillId="8" borderId="1" xfId="0" applyFont="1" applyFill="1" applyBorder="1"/>
    <xf numFmtId="1" fontId="6" fillId="8" borderId="1" xfId="0" applyNumberFormat="1" applyFont="1" applyFill="1" applyBorder="1"/>
    <xf numFmtId="9" fontId="6" fillId="8" borderId="1" xfId="0" applyNumberFormat="1" applyFont="1" applyFill="1" applyBorder="1"/>
    <xf numFmtId="9" fontId="8" fillId="0" borderId="0" xfId="0" applyNumberFormat="1" applyFo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3">
    <dxf>
      <fill>
        <patternFill patternType="solid">
          <fgColor rgb="FFFFC7CE"/>
          <bgColor rgb="FFFFC7CE"/>
        </patternFill>
      </fill>
    </dxf>
    <dxf>
      <fill>
        <patternFill patternType="solid">
          <fgColor rgb="FFFFF2CC"/>
          <bgColor rgb="FFFFF2CC"/>
        </patternFill>
      </fill>
    </dxf>
    <dxf>
      <fill>
        <patternFill patternType="solid">
          <fgColor rgb="FFE2EFDA"/>
          <bgColor rgb="FFE2EFDA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4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246"/>
        <c:overlap val="-28"/>
        <c:axId val="22430713"/>
        <c:axId val="122703952"/>
      </c:barChart>
      <c:catAx>
        <c:axId val="22430713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122703952"/>
        <c:crosses val="autoZero"/>
        <c:auto val="1"/>
        <c:lblAlgn val="ctr"/>
        <c:lblOffset val="100"/>
        <c:noMultiLvlLbl val="0"/>
      </c:catAx>
      <c:valAx>
        <c:axId val="1227039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0200"/>
                </a:schemeClr>
              </a:solidFill>
              <a:round/>
            </a:ln>
            <a:effectLst/>
          </c:spPr>
        </c:majorGridlines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</a:p>
        </c:txPr>
        <c:crossAx val="2243071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Revenue by Client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Reports!$B$4</c:f>
              <c:strCache>
                <c:ptCount val="1"/>
                <c:pt idx="0">
                  <c:v>Total Invoiced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invertIfNegative val="0"/>
          <c:dLbls>
            <c:delete val="1"/>
          </c:dLbls>
          <c:cat>
            <c:strRef>
              <c:f>Reports!$A$5:$A$14</c:f>
              <c:strCache>
                <c:ptCount val="10"/>
                <c:pt idx="0">
                  <c:v>Acme Corp</c:v>
                </c:pt>
                <c:pt idx="1">
                  <c:v>TechStart Inc</c:v>
                </c:pt>
                <c:pt idx="2">
                  <c:v>Global Media</c:v>
                </c:pt>
                <c:pt idx="3">
                  <c:v>Smith &amp; Associates</c:v>
                </c:pt>
                <c:pt idx="4">
                  <c:v>BlueWave Design</c:v>
                </c:pt>
                <c:pt idx="5">
                  <c:v>Vertex Solutions</c:v>
                </c:pt>
                <c:pt idx="6">
                  <c:v>Pinnacle Group</c:v>
                </c:pt>
                <c:pt idx="7">
                  <c:v>Nova Digital</c:v>
                </c:pt>
                <c:pt idx="8">
                  <c:v>Summit Partners</c:v>
                </c:pt>
                <c:pt idx="9">
                  <c:v>Atlas Consulting</c:v>
                </c:pt>
              </c:strCache>
            </c:strRef>
          </c:cat>
          <c:val>
            <c:numRef>
              <c:f>Reports!$B$5:$B$14</c:f>
              <c:numCache>
                <c:formatCode>"$"#,##0.00</c:formatCode>
                <c:ptCount val="10"/>
                <c:pt idx="0">
                  <c:v>7500</c:v>
                </c:pt>
                <c:pt idx="1">
                  <c:v>3600</c:v>
                </c:pt>
                <c:pt idx="2">
                  <c:v>4500</c:v>
                </c:pt>
                <c:pt idx="3">
                  <c:v>10500</c:v>
                </c:pt>
                <c:pt idx="4">
                  <c:v>8400</c:v>
                </c:pt>
                <c:pt idx="5">
                  <c:v>750</c:v>
                </c:pt>
                <c:pt idx="6">
                  <c:v>3000</c:v>
                </c:pt>
                <c:pt idx="7">
                  <c:v>10000</c:v>
                </c:pt>
                <c:pt idx="8">
                  <c:v>5000</c:v>
                </c:pt>
                <c:pt idx="9">
                  <c:v>1600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"/>
        <c:axId val="100"/>
      </c:bar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Amount ($)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0b6a5a64-b12b-4803-af93-eb8fbb477ce5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Invoice Payment Status</a:t>
            </a:r>
          </a:p>
        </c:rich>
      </c:tx>
      <c:layout/>
      <c:overlay val="0"/>
    </c:title>
    <c:autoTitleDeleted val="0"/>
    <c:plotArea>
      <c:layout/>
      <c:pieChart>
        <c:varyColors val="1"/>
        <c:ser>
          <c:idx val="0"/>
          <c:order val="0"/>
          <c:tx>
            <c:strRef>
              <c:f>Charts!$B$22</c:f>
              <c:strCache>
                <c:ptCount val="1"/>
                <c:pt idx="0">
                  <c:v>Count</c:v>
                </c:pt>
              </c:strCache>
            </c:strRef>
          </c:tx>
          <c:spPr>
            <a:ln w="9525" cap="flat" cmpd="sng" algn="ctr">
              <a:solidFill>
                <a:schemeClr val="lt1">
                  <a:shade val="95000"/>
                  <a:satMod val="105000"/>
                </a:schemeClr>
              </a:solidFill>
              <a:prstDash val="solid"/>
              <a:round/>
            </a:ln>
          </c:spPr>
          <c:explosion val="0"/>
          <c:dPt>
            <c:idx val="0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1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Pt>
            <c:idx val="2"/>
            <c:bubble3D val="0"/>
            <c:spPr>
              <a:ln w="9525" cap="flat" cmpd="sng" algn="ctr">
                <a:solidFill>
                  <a:schemeClr val="lt1">
                    <a:shade val="95000"/>
                    <a:satMod val="105000"/>
                  </a:schemeClr>
                </a:solidFill>
                <a:prstDash val="solid"/>
                <a:round/>
              </a:ln>
            </c:spPr>
          </c:dPt>
          <c:dLbls>
            <c:delete val="1"/>
          </c:dLbls>
          <c:cat>
            <c:strRef>
              <c:f>Charts!$A$23:$A$25</c:f>
              <c:strCache>
                <c:ptCount val="3"/>
                <c:pt idx="0">
                  <c:v>Paid</c:v>
                </c:pt>
                <c:pt idx="1">
                  <c:v>Outstanding</c:v>
                </c:pt>
                <c:pt idx="2">
                  <c:v>Overdue</c:v>
                </c:pt>
              </c:strCache>
            </c:strRef>
          </c:cat>
          <c:val>
            <c:numRef>
              <c:f>Charts!$B$23:$B$25</c:f>
              <c:numCache>
                <c:formatCode>General</c:formatCode>
                <c:ptCount val="3"/>
                <c:pt idx="0">
                  <c:v>21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801e346d-f66b-4738-8e94-816359d0a31a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 rot="0" spcFirstLastPara="0" vertOverflow="ellipsis" vert="horz" wrap="square" anchor="ctr" anchorCtr="1"/>
          <a:lstStyle/>
          <a:p>
            <a:pPr>
              <a:defRPr lang="zh-CN" sz="18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t>Monthly Revenue Trend</a:t>
            </a:r>
          </a:p>
        </c:rich>
      </c:tx>
      <c:layout/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Dashboard!$C$12</c:f>
              <c:strCache>
                <c:ptCount val="1"/>
                <c:pt idx="0">
                  <c:v>Total Billed</c:v>
                </c:pt>
              </c:strCache>
            </c:strRef>
          </c:tx>
          <c:spPr>
            <a:ln w="4762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</c:spPr>
          <c:marker>
            <c:symbol val="none"/>
          </c:marker>
          <c:dLbls>
            <c:delete val="1"/>
          </c:dLbls>
          <c:cat>
            <c:strRef>
              <c:f>Dashboard!$A$13:$A$24</c:f>
              <c:strCache>
                <c:ptCount val="12"/>
                <c:pt idx="0">
                  <c:v>Jan 2024</c:v>
                </c:pt>
                <c:pt idx="1">
                  <c:v>Feb 2024</c:v>
                </c:pt>
                <c:pt idx="2">
                  <c:v>Mar 2024</c:v>
                </c:pt>
                <c:pt idx="3">
                  <c:v>Apr 2024</c:v>
                </c:pt>
                <c:pt idx="4">
                  <c:v>May 2024</c:v>
                </c:pt>
                <c:pt idx="5">
                  <c:v>Jun 2024</c:v>
                </c:pt>
                <c:pt idx="6">
                  <c:v>Jul 2024</c:v>
                </c:pt>
                <c:pt idx="7">
                  <c:v>Aug 2024</c:v>
                </c:pt>
                <c:pt idx="8">
                  <c:v>Sep 2024</c:v>
                </c:pt>
                <c:pt idx="9">
                  <c:v>Oct 2024</c:v>
                </c:pt>
                <c:pt idx="10">
                  <c:v>Nov 2024</c:v>
                </c:pt>
                <c:pt idx="11">
                  <c:v>Dec 2024</c:v>
                </c:pt>
              </c:strCache>
            </c:strRef>
          </c:cat>
          <c:val>
            <c:numRef>
              <c:f>Dashboard!$C$13:$C$24</c:f>
              <c:numCache>
                <c:formatCode>"$"#,##0.00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0"/>
        <c:smooth val="1"/>
        <c:axId val="10"/>
        <c:axId val="100"/>
      </c:lineChart>
      <c:catAx>
        <c:axId val="1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0"/>
        <c:crosses val="autoZero"/>
        <c:auto val="1"/>
        <c:lblAlgn val="ctr"/>
        <c:lblOffset val="100"/>
        <c:noMultiLvlLbl val="0"/>
      </c:catAx>
      <c:valAx>
        <c:axId val="100"/>
        <c:scaling>
          <c:orientation val="minMax"/>
        </c:scaling>
        <c:delete val="0"/>
        <c:axPos val="l"/>
        <c:majorGridlines/>
        <c:title>
          <c:tx>
            <c:rich>
              <a:bodyPr rot="-5400000" spcFirstLastPara="0" vertOverflow="ellipsis" vert="horz" wrap="square" anchor="ctr" anchorCtr="1"/>
              <a:lstStyle/>
              <a:p>
                <a:pPr>
                  <a:defRPr lang="zh-CN" sz="10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t>Revenue ($)</a:t>
                </a:r>
              </a:p>
            </c:rich>
          </c:tx>
          <c:layout/>
          <c:overlay val="0"/>
        </c:title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</a:p>
        </c:txPr>
        <c:crossAx val="10"/>
        <c:crosses val="autoZero"/>
        <c:crossBetween val="between"/>
      </c:valAx>
    </c:plotArea>
    <c:legend>
      <c:legendPos val="r"/>
      <c:layout/>
      <c:overlay val="0"/>
      <c:txPr>
        <a:bodyPr rot="0" spcFirstLastPara="0" vertOverflow="ellipsis" vert="horz" wrap="square" anchor="ctr" anchorCtr="1"/>
        <a:lstStyle/>
        <a:p>
          <a:pPr>
            <a:defRPr lang="zh-CN"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</a:p>
      </c:txPr>
    </c:legend>
    <c:plotVisOnly val="1"/>
    <c:dispBlanksAs val="gap"/>
    <c:showDLblsOverMax val="0"/>
    <c:extLst>
      <c:ext uri="{0b15fc19-7d7d-44ad-8c2d-2c3a37ce22c3}">
        <chartProps xmlns="https://web.wps.cn/et/2018/main" chartId="{2d2e745a-c76d-41a3-848a-2bb98a758bb2}"/>
      </c:ext>
    </c:extLst>
  </c:chart>
  <c:txPr>
    <a:bodyPr/>
    <a:lstStyle/>
    <a:p>
      <a:pPr>
        <a:defRPr lang="zh-CN"/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0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10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10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1">
      <cs:styleClr val="auto"/>
    </cs:fillRef>
    <cs:effectRef idx="0"/>
    <cs:fontRef idx="minor">
      <a:schemeClr val="dk1"/>
    </cs:fontRef>
    <cs:spPr>
      <a:ln>
        <a:noFill/>
      </a:ln>
      <a:effectLst/>
    </cs:spPr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02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75000"/>
        <a:lumOff val="25000"/>
      </a:schemeClr>
    </cs:fontRef>
    <cs:defRPr sz="1400" b="1" kern="120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1620520</xdr:colOff>
      <xdr:row>7</xdr:row>
      <xdr:rowOff>147320</xdr:rowOff>
    </xdr:from>
    <xdr:to>
      <xdr:col>8</xdr:col>
      <xdr:colOff>548640</xdr:colOff>
      <xdr:row>22</xdr:row>
      <xdr:rowOff>147320</xdr:rowOff>
    </xdr:to>
    <xdr:graphicFrame>
      <xdr:nvGraphicFramePr>
        <xdr:cNvPr id="2" name="图表 1"/>
        <xdr:cNvGraphicFramePr/>
      </xdr:nvGraphicFramePr>
      <xdr:xfrm>
        <a:off x="4775200" y="1511300"/>
        <a:ext cx="4826000" cy="274320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oneCellAnchor>
    <xdr:from>
      <xdr:col>0</xdr:col>
      <xdr:colOff>0</xdr:colOff>
      <xdr:row>2</xdr:row>
      <xdr:rowOff>0</xdr:rowOff>
    </xdr:from>
    <xdr:ext cx="6480000" cy="4152360"/>
    <xdr:graphicFrame>
      <xdr:nvGraphicFramePr>
        <xdr:cNvPr id="2" name="Chart 1"/>
        <xdr:cNvGraphicFramePr/>
      </xdr:nvGraphicFramePr>
      <xdr:xfrm>
        <a:off x="0" y="449580"/>
        <a:ext cx="6479540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oneCellAnchor>
  <xdr:oneCellAnchor>
    <xdr:from>
      <xdr:col>0</xdr:col>
      <xdr:colOff>0</xdr:colOff>
      <xdr:row>19</xdr:row>
      <xdr:rowOff>0</xdr:rowOff>
    </xdr:from>
    <xdr:ext cx="5040000" cy="4152360"/>
    <xdr:graphicFrame>
      <xdr:nvGraphicFramePr>
        <xdr:cNvPr id="3" name="Chart 2"/>
        <xdr:cNvGraphicFramePr/>
      </xdr:nvGraphicFramePr>
      <xdr:xfrm>
        <a:off x="0" y="3558540"/>
        <a:ext cx="5039995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oneCellAnchor>
  <xdr:oneCellAnchor>
    <xdr:from>
      <xdr:col>13</xdr:col>
      <xdr:colOff>0</xdr:colOff>
      <xdr:row>2</xdr:row>
      <xdr:rowOff>0</xdr:rowOff>
    </xdr:from>
    <xdr:ext cx="6480000" cy="4152360"/>
    <xdr:graphicFrame>
      <xdr:nvGraphicFramePr>
        <xdr:cNvPr id="4" name="Chart 3"/>
        <xdr:cNvGraphicFramePr/>
      </xdr:nvGraphicFramePr>
      <xdr:xfrm>
        <a:off x="8023860" y="449580"/>
        <a:ext cx="6479540" cy="415226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1F4E79"/>
  </sheetPr>
  <dimension ref="A1:H25"/>
  <sheetViews>
    <sheetView workbookViewId="0">
      <pane ySplit="12" topLeftCell="A13" activePane="bottomLeft" state="frozen"/>
      <selection/>
      <selection pane="bottomLeft" activeCell="A1" sqref="A1:H1"/>
    </sheetView>
  </sheetViews>
  <sheetFormatPr defaultColWidth="9" defaultRowHeight="14.4" outlineLevelCol="7"/>
  <cols>
    <col min="1" max="2" width="12" customWidth="1"/>
    <col min="3" max="6" width="15" customWidth="1"/>
  </cols>
  <sheetData>
    <row r="1" ht="23.4" spans="1:8">
      <c r="A1" s="40" t="s">
        <v>0</v>
      </c>
    </row>
    <row r="2" spans="1:8">
      <c r="A2" s="41" t="s">
        <v>1</v>
      </c>
    </row>
    <row r="4" spans="1:8">
      <c r="A4" s="42" t="s">
        <v>2</v>
      </c>
      <c r="B4" s="43"/>
      <c r="C4" s="42" t="s">
        <v>3</v>
      </c>
      <c r="D4" s="43"/>
      <c r="E4" s="42" t="s">
        <v>4</v>
      </c>
      <c r="F4" s="43"/>
      <c r="G4" s="42" t="s">
        <v>5</v>
      </c>
      <c r="H4" s="43"/>
    </row>
    <row r="5" ht="18" spans="1:8">
      <c r="A5" s="44">
        <f>SUM('Invoice Log'!G:G)</f>
        <v>109700</v>
      </c>
      <c r="B5" s="43"/>
      <c r="C5" s="44">
        <f>SUM('Invoice Log'!F:F)</f>
        <v>43450</v>
      </c>
      <c r="D5" s="43"/>
      <c r="E5" s="44">
        <f>SUMIF('Invoice Log'!H:H,"Outstanding",'Invoice Log'!G:G)</f>
        <v>9000</v>
      </c>
      <c r="F5" s="43"/>
      <c r="G5" s="44">
        <f>SUMIF('Invoice Log'!H:H,"Overdue",'Invoice Log'!G:G)</f>
        <v>800</v>
      </c>
      <c r="H5" s="43"/>
    </row>
    <row r="6" spans="1:8">
      <c r="A6" s="45" t="s">
        <v>6</v>
      </c>
      <c r="B6" s="43"/>
      <c r="C6" s="45" t="s">
        <v>7</v>
      </c>
      <c r="D6" s="43"/>
      <c r="E6" s="45" t="s">
        <v>8</v>
      </c>
      <c r="F6" s="43"/>
      <c r="G6" s="45" t="s">
        <v>9</v>
      </c>
      <c r="H6" s="43"/>
    </row>
    <row r="7" spans="1:8">
      <c r="A7" s="42" t="s">
        <v>10</v>
      </c>
      <c r="B7" s="43"/>
      <c r="C7" s="42" t="s">
        <v>11</v>
      </c>
      <c r="D7" s="43"/>
      <c r="E7" s="42" t="s">
        <v>12</v>
      </c>
      <c r="F7" s="43"/>
      <c r="G7" s="42" t="s">
        <v>13</v>
      </c>
      <c r="H7" s="43"/>
    </row>
    <row r="8" ht="18" spans="1:8">
      <c r="A8" s="44">
        <f>SUMIF('Invoice Log'!H:H,"Paid",'Invoice Log'!G:G)</f>
        <v>45050</v>
      </c>
      <c r="B8" s="43"/>
      <c r="C8" s="44">
        <f>AVERAGE('Invoice Log'!G:G)</f>
        <v>4219.23076923077</v>
      </c>
      <c r="D8" s="43"/>
      <c r="E8" s="46">
        <f>COUNTA('Invoice Log'!A:A)-1</f>
        <v>26</v>
      </c>
      <c r="F8" s="43"/>
      <c r="G8" s="47">
        <f>IF(B4&gt;0,B6/B4,0)</f>
        <v>0</v>
      </c>
      <c r="H8" s="43"/>
    </row>
    <row r="9" spans="1:8">
      <c r="A9" s="45" t="s">
        <v>14</v>
      </c>
      <c r="B9" s="43"/>
      <c r="C9" s="45" t="s">
        <v>15</v>
      </c>
      <c r="D9" s="43"/>
      <c r="E9" s="45" t="s">
        <v>16</v>
      </c>
      <c r="F9" s="43"/>
      <c r="G9" s="45" t="s">
        <v>17</v>
      </c>
      <c r="H9" s="43"/>
    </row>
    <row r="11" ht="15.6" spans="1:8">
      <c r="A11" s="4" t="s">
        <v>18</v>
      </c>
    </row>
    <row r="12" spans="1:8">
      <c r="A12" s="39" t="s">
        <v>19</v>
      </c>
      <c r="B12" s="39" t="s">
        <v>20</v>
      </c>
      <c r="C12" s="39" t="s">
        <v>21</v>
      </c>
      <c r="D12" s="39" t="s">
        <v>14</v>
      </c>
      <c r="E12" s="39" t="s">
        <v>22</v>
      </c>
      <c r="F12" s="39" t="s">
        <v>13</v>
      </c>
    </row>
    <row r="13" spans="1:8">
      <c r="A13" s="9" t="s">
        <v>23</v>
      </c>
      <c r="B13" s="9">
        <f>COUNTIFS('Invoice Log'!B:B,"&gt;="&amp;DATE(2024,1,1),'Invoice Log'!B:B,"&lt;"&amp;DATE(2024,2,1))</f>
        <v>0</v>
      </c>
      <c r="C13" s="10">
        <f>SUMIFS('Invoice Log'!G:G,'Invoice Log'!B:B,"&gt;="&amp;DATE(2024,1,1),'Invoice Log'!B:B,"&lt;"&amp;DATE(2024,2,1))</f>
        <v>0</v>
      </c>
      <c r="D13" s="10">
        <f>SUMIFS('Invoice Log'!G:G,'Invoice Log'!B:B,"&gt;="&amp;DATE(2024,1,1),'Invoice Log'!B:B,"&lt;"&amp;DATE(2024,2,1),'Invoice Log'!H:H,"Paid")</f>
        <v>0</v>
      </c>
      <c r="E13" s="10">
        <f t="shared" ref="E13:E24" si="0">C13-D13</f>
        <v>0</v>
      </c>
      <c r="F13" s="13">
        <f t="shared" ref="F13:F25" si="1">IF(C13&gt;0,D13/C13,0)</f>
        <v>0</v>
      </c>
    </row>
    <row r="14" spans="1:8">
      <c r="A14" s="11" t="s">
        <v>24</v>
      </c>
      <c r="B14" s="11">
        <f>COUNTIFS('Invoice Log'!B:B,"&gt;="&amp;DATE(2024,2,1),'Invoice Log'!B:B,"&lt;"&amp;DATE(2024,3,1))</f>
        <v>0</v>
      </c>
      <c r="C14" s="12">
        <f>SUMIFS('Invoice Log'!G:G,'Invoice Log'!B:B,"&gt;="&amp;DATE(2024,2,1),'Invoice Log'!B:B,"&lt;"&amp;DATE(2024,3,1))</f>
        <v>0</v>
      </c>
      <c r="D14" s="12">
        <f>SUMIFS('Invoice Log'!G:G,'Invoice Log'!B:B,"&gt;="&amp;DATE(2024,2,1),'Invoice Log'!B:B,"&lt;"&amp;DATE(2024,3,1),'Invoice Log'!H:H,"Paid")</f>
        <v>0</v>
      </c>
      <c r="E14" s="12">
        <f t="shared" si="0"/>
        <v>0</v>
      </c>
      <c r="F14" s="14">
        <f t="shared" si="1"/>
        <v>0</v>
      </c>
    </row>
    <row r="15" spans="1:8">
      <c r="A15" s="9" t="s">
        <v>25</v>
      </c>
      <c r="B15" s="9">
        <f>COUNTIFS('Invoice Log'!B:B,"&gt;="&amp;DATE(2024,3,1),'Invoice Log'!B:B,"&lt;"&amp;DATE(2024,4,1))</f>
        <v>0</v>
      </c>
      <c r="C15" s="10">
        <f>SUMIFS('Invoice Log'!G:G,'Invoice Log'!B:B,"&gt;="&amp;DATE(2024,3,1),'Invoice Log'!B:B,"&lt;"&amp;DATE(2024,4,1))</f>
        <v>0</v>
      </c>
      <c r="D15" s="10">
        <f>SUMIFS('Invoice Log'!G:G,'Invoice Log'!B:B,"&gt;="&amp;DATE(2024,3,1),'Invoice Log'!B:B,"&lt;"&amp;DATE(2024,4,1),'Invoice Log'!H:H,"Paid")</f>
        <v>0</v>
      </c>
      <c r="E15" s="10">
        <f t="shared" si="0"/>
        <v>0</v>
      </c>
      <c r="F15" s="13">
        <f t="shared" si="1"/>
        <v>0</v>
      </c>
    </row>
    <row r="16" spans="1:8">
      <c r="A16" s="11" t="s">
        <v>26</v>
      </c>
      <c r="B16" s="11">
        <f>COUNTIFS('Invoice Log'!B:B,"&gt;="&amp;DATE(2024,4,1),'Invoice Log'!B:B,"&lt;"&amp;DATE(2024,5,1))</f>
        <v>0</v>
      </c>
      <c r="C16" s="12">
        <f>SUMIFS('Invoice Log'!G:G,'Invoice Log'!B:B,"&gt;="&amp;DATE(2024,4,1),'Invoice Log'!B:B,"&lt;"&amp;DATE(2024,5,1))</f>
        <v>0</v>
      </c>
      <c r="D16" s="12">
        <f>SUMIFS('Invoice Log'!G:G,'Invoice Log'!B:B,"&gt;="&amp;DATE(2024,4,1),'Invoice Log'!B:B,"&lt;"&amp;DATE(2024,5,1),'Invoice Log'!H:H,"Paid")</f>
        <v>0</v>
      </c>
      <c r="E16" s="12">
        <f t="shared" si="0"/>
        <v>0</v>
      </c>
      <c r="F16" s="14">
        <f t="shared" si="1"/>
        <v>0</v>
      </c>
    </row>
    <row r="17" spans="1:6">
      <c r="A17" s="9" t="s">
        <v>27</v>
      </c>
      <c r="B17" s="9">
        <f>COUNTIFS('Invoice Log'!B:B,"&gt;="&amp;DATE(2024,5,1),'Invoice Log'!B:B,"&lt;"&amp;DATE(2024,6,1))</f>
        <v>0</v>
      </c>
      <c r="C17" s="10">
        <f>SUMIFS('Invoice Log'!G:G,'Invoice Log'!B:B,"&gt;="&amp;DATE(2024,5,1),'Invoice Log'!B:B,"&lt;"&amp;DATE(2024,6,1))</f>
        <v>0</v>
      </c>
      <c r="D17" s="10">
        <f>SUMIFS('Invoice Log'!G:G,'Invoice Log'!B:B,"&gt;="&amp;DATE(2024,5,1),'Invoice Log'!B:B,"&lt;"&amp;DATE(2024,6,1),'Invoice Log'!H:H,"Paid")</f>
        <v>0</v>
      </c>
      <c r="E17" s="10">
        <f t="shared" si="0"/>
        <v>0</v>
      </c>
      <c r="F17" s="13">
        <f t="shared" si="1"/>
        <v>0</v>
      </c>
    </row>
    <row r="18" spans="1:6">
      <c r="A18" s="11" t="s">
        <v>28</v>
      </c>
      <c r="B18" s="11">
        <f>COUNTIFS('Invoice Log'!B:B,"&gt;="&amp;DATE(2024,6,1),'Invoice Log'!B:B,"&lt;"&amp;DATE(2024,7,1))</f>
        <v>0</v>
      </c>
      <c r="C18" s="12">
        <f>SUMIFS('Invoice Log'!G:G,'Invoice Log'!B:B,"&gt;="&amp;DATE(2024,6,1),'Invoice Log'!B:B,"&lt;"&amp;DATE(2024,7,1))</f>
        <v>0</v>
      </c>
      <c r="D18" s="12">
        <f>SUMIFS('Invoice Log'!G:G,'Invoice Log'!B:B,"&gt;="&amp;DATE(2024,6,1),'Invoice Log'!B:B,"&lt;"&amp;DATE(2024,7,1),'Invoice Log'!H:H,"Paid")</f>
        <v>0</v>
      </c>
      <c r="E18" s="12">
        <f t="shared" si="0"/>
        <v>0</v>
      </c>
      <c r="F18" s="14">
        <f t="shared" si="1"/>
        <v>0</v>
      </c>
    </row>
    <row r="19" spans="1:6">
      <c r="A19" s="9" t="s">
        <v>29</v>
      </c>
      <c r="B19" s="9">
        <f>COUNTIFS('Invoice Log'!B:B,"&gt;="&amp;DATE(2024,7,1),'Invoice Log'!B:B,"&lt;"&amp;DATE(2024,8,1))</f>
        <v>0</v>
      </c>
      <c r="C19" s="10">
        <f>SUMIFS('Invoice Log'!G:G,'Invoice Log'!B:B,"&gt;="&amp;DATE(2024,7,1),'Invoice Log'!B:B,"&lt;"&amp;DATE(2024,8,1))</f>
        <v>0</v>
      </c>
      <c r="D19" s="10">
        <f>SUMIFS('Invoice Log'!G:G,'Invoice Log'!B:B,"&gt;="&amp;DATE(2024,7,1),'Invoice Log'!B:B,"&lt;"&amp;DATE(2024,8,1),'Invoice Log'!H:H,"Paid")</f>
        <v>0</v>
      </c>
      <c r="E19" s="10">
        <f t="shared" si="0"/>
        <v>0</v>
      </c>
      <c r="F19" s="13">
        <f t="shared" si="1"/>
        <v>0</v>
      </c>
    </row>
    <row r="20" spans="1:6">
      <c r="A20" s="11" t="s">
        <v>30</v>
      </c>
      <c r="B20" s="11">
        <f>COUNTIFS('Invoice Log'!B:B,"&gt;="&amp;DATE(2024,8,1),'Invoice Log'!B:B,"&lt;"&amp;DATE(2024,9,1))</f>
        <v>0</v>
      </c>
      <c r="C20" s="12">
        <f>SUMIFS('Invoice Log'!G:G,'Invoice Log'!B:B,"&gt;="&amp;DATE(2024,8,1),'Invoice Log'!B:B,"&lt;"&amp;DATE(2024,9,1))</f>
        <v>0</v>
      </c>
      <c r="D20" s="12">
        <f>SUMIFS('Invoice Log'!G:G,'Invoice Log'!B:B,"&gt;="&amp;DATE(2024,8,1),'Invoice Log'!B:B,"&lt;"&amp;DATE(2024,9,1),'Invoice Log'!H:H,"Paid")</f>
        <v>0</v>
      </c>
      <c r="E20" s="12">
        <f t="shared" si="0"/>
        <v>0</v>
      </c>
      <c r="F20" s="14">
        <f t="shared" si="1"/>
        <v>0</v>
      </c>
    </row>
    <row r="21" spans="1:6">
      <c r="A21" s="9" t="s">
        <v>31</v>
      </c>
      <c r="B21" s="9">
        <f>COUNTIFS('Invoice Log'!B:B,"&gt;="&amp;DATE(2024,9,1),'Invoice Log'!B:B,"&lt;"&amp;DATE(2024,10,1))</f>
        <v>0</v>
      </c>
      <c r="C21" s="10">
        <f>SUMIFS('Invoice Log'!G:G,'Invoice Log'!B:B,"&gt;="&amp;DATE(2024,9,1),'Invoice Log'!B:B,"&lt;"&amp;DATE(2024,10,1))</f>
        <v>0</v>
      </c>
      <c r="D21" s="10">
        <f>SUMIFS('Invoice Log'!G:G,'Invoice Log'!B:B,"&gt;="&amp;DATE(2024,9,1),'Invoice Log'!B:B,"&lt;"&amp;DATE(2024,10,1),'Invoice Log'!H:H,"Paid")</f>
        <v>0</v>
      </c>
      <c r="E21" s="10">
        <f t="shared" si="0"/>
        <v>0</v>
      </c>
      <c r="F21" s="13">
        <f t="shared" si="1"/>
        <v>0</v>
      </c>
    </row>
    <row r="22" spans="1:6">
      <c r="A22" s="11" t="s">
        <v>32</v>
      </c>
      <c r="B22" s="11">
        <f>COUNTIFS('Invoice Log'!B:B,"&gt;="&amp;DATE(2024,10,1),'Invoice Log'!B:B,"&lt;"&amp;DATE(2024,11,1))</f>
        <v>0</v>
      </c>
      <c r="C22" s="12">
        <f>SUMIFS('Invoice Log'!G:G,'Invoice Log'!B:B,"&gt;="&amp;DATE(2024,10,1),'Invoice Log'!B:B,"&lt;"&amp;DATE(2024,11,1))</f>
        <v>0</v>
      </c>
      <c r="D22" s="12">
        <f>SUMIFS('Invoice Log'!G:G,'Invoice Log'!B:B,"&gt;="&amp;DATE(2024,10,1),'Invoice Log'!B:B,"&lt;"&amp;DATE(2024,11,1),'Invoice Log'!H:H,"Paid")</f>
        <v>0</v>
      </c>
      <c r="E22" s="12">
        <f t="shared" si="0"/>
        <v>0</v>
      </c>
      <c r="F22" s="14">
        <f t="shared" si="1"/>
        <v>0</v>
      </c>
    </row>
    <row r="23" spans="1:6">
      <c r="A23" s="9" t="s">
        <v>33</v>
      </c>
      <c r="B23" s="9">
        <f>COUNTIFS('Invoice Log'!B:B,"&gt;="&amp;DATE(2024,11,1),'Invoice Log'!B:B,"&lt;"&amp;DATE(2024,12,1))</f>
        <v>0</v>
      </c>
      <c r="C23" s="10">
        <f>SUMIFS('Invoice Log'!G:G,'Invoice Log'!B:B,"&gt;="&amp;DATE(2024,11,1),'Invoice Log'!B:B,"&lt;"&amp;DATE(2024,12,1))</f>
        <v>0</v>
      </c>
      <c r="D23" s="10">
        <f>SUMIFS('Invoice Log'!G:G,'Invoice Log'!B:B,"&gt;="&amp;DATE(2024,11,1),'Invoice Log'!B:B,"&lt;"&amp;DATE(2024,12,1),'Invoice Log'!H:H,"Paid")</f>
        <v>0</v>
      </c>
      <c r="E23" s="10">
        <f t="shared" si="0"/>
        <v>0</v>
      </c>
      <c r="F23" s="13">
        <f t="shared" si="1"/>
        <v>0</v>
      </c>
    </row>
    <row r="24" spans="1:6">
      <c r="A24" s="11" t="s">
        <v>34</v>
      </c>
      <c r="B24" s="11">
        <f>COUNTIFS('Invoice Log'!B:B,"&gt;="&amp;DATE(2024,12,1),'Invoice Log'!B:B,"&lt;"&amp;DATE(2024,1,1))</f>
        <v>0</v>
      </c>
      <c r="C24" s="12">
        <f>SUMIFS('Invoice Log'!G:G,'Invoice Log'!B:B,"&gt;="&amp;DATE(2024,12,1),'Invoice Log'!B:B,"&lt;"&amp;DATE(2024,1,1))</f>
        <v>0</v>
      </c>
      <c r="D24" s="12">
        <f>SUMIFS('Invoice Log'!G:G,'Invoice Log'!B:B,"&gt;="&amp;DATE(2024,12,1),'Invoice Log'!B:B,"&lt;"&amp;DATE(2024,1,1),'Invoice Log'!H:H,"Paid")</f>
        <v>0</v>
      </c>
      <c r="E24" s="12">
        <f t="shared" si="0"/>
        <v>0</v>
      </c>
      <c r="F24" s="14">
        <f t="shared" si="1"/>
        <v>0</v>
      </c>
    </row>
    <row r="25" spans="1:6">
      <c r="A25" s="17" t="s">
        <v>35</v>
      </c>
      <c r="B25" s="17">
        <f>SUM(B13:B24)</f>
        <v>0</v>
      </c>
      <c r="C25" s="18">
        <f>SUM(C13:C24)</f>
        <v>0</v>
      </c>
      <c r="D25" s="18">
        <f>SUM(D13:D24)</f>
        <v>0</v>
      </c>
      <c r="E25" s="18">
        <f>SUM(E13:E24)</f>
        <v>0</v>
      </c>
      <c r="F25" s="48">
        <f t="shared" si="1"/>
        <v>0</v>
      </c>
    </row>
  </sheetData>
  <mergeCells count="2">
    <mergeCell ref="A1:H1"/>
    <mergeCell ref="A2:H2"/>
  </mergeCells>
  <conditionalFormatting sqref="F13:F24">
    <cfRule type="colorScale" priority="1">
      <colorScale>
        <cfvo type="num" val="0"/>
        <cfvo type="num" val="0.7"/>
        <cfvo type="num" val="1"/>
        <color rgb="FFF8696B"/>
        <color rgb="FFFFEB84"/>
        <color rgb="FF63BE7B"/>
      </colorScale>
    </cfRule>
  </conditionalFormatting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E75B6"/>
  </sheetPr>
  <dimension ref="A1:J28"/>
  <sheetViews>
    <sheetView workbookViewId="0">
      <pane ySplit="2" topLeftCell="A3" activePane="bottomLeft" state="frozen"/>
      <selection/>
      <selection pane="bottomLeft" activeCell="A1" sqref="A1:J1"/>
    </sheetView>
  </sheetViews>
  <sheetFormatPr defaultColWidth="9" defaultRowHeight="14.4"/>
  <cols>
    <col min="1" max="1" width="14" customWidth="1"/>
    <col min="2" max="2" width="12" customWidth="1"/>
    <col min="3" max="3" width="20" customWidth="1"/>
    <col min="4" max="4" width="25" customWidth="1"/>
    <col min="5" max="5" width="8" customWidth="1"/>
    <col min="6" max="6" width="12" customWidth="1"/>
    <col min="7" max="8" width="14" customWidth="1"/>
    <col min="9" max="9" width="12" customWidth="1"/>
    <col min="10" max="10" width="14" customWidth="1"/>
  </cols>
  <sheetData>
    <row r="1" ht="21" spans="1:10">
      <c r="A1" s="1"/>
    </row>
    <row r="2" spans="1:10">
      <c r="A2" s="39" t="s">
        <v>36</v>
      </c>
      <c r="B2" s="39" t="s">
        <v>37</v>
      </c>
      <c r="C2" s="39" t="s">
        <v>38</v>
      </c>
      <c r="D2" s="39" t="s">
        <v>39</v>
      </c>
      <c r="E2" s="39" t="s">
        <v>40</v>
      </c>
      <c r="F2" s="39" t="s">
        <v>41</v>
      </c>
      <c r="G2" s="39" t="s">
        <v>42</v>
      </c>
      <c r="H2" s="39" t="s">
        <v>43</v>
      </c>
      <c r="I2" s="39" t="s">
        <v>44</v>
      </c>
      <c r="J2" s="39" t="s">
        <v>45</v>
      </c>
    </row>
    <row r="3" spans="1:10">
      <c r="A3" s="9" t="s">
        <v>46</v>
      </c>
      <c r="B3" s="9" t="s">
        <v>47</v>
      </c>
      <c r="C3" s="9" t="s">
        <v>48</v>
      </c>
      <c r="D3" s="9" t="s">
        <v>49</v>
      </c>
      <c r="E3" s="9">
        <v>1</v>
      </c>
      <c r="F3" s="10">
        <v>2500</v>
      </c>
      <c r="G3" s="10">
        <f t="shared" ref="G3:G27" si="0">E3*F3</f>
        <v>2500</v>
      </c>
      <c r="H3" s="9" t="s">
        <v>50</v>
      </c>
      <c r="I3" s="9" t="s">
        <v>51</v>
      </c>
      <c r="J3" s="9" t="s">
        <v>47</v>
      </c>
    </row>
    <row r="4" spans="1:10">
      <c r="A4" s="11" t="s">
        <v>52</v>
      </c>
      <c r="B4" s="11" t="s">
        <v>53</v>
      </c>
      <c r="C4" s="11" t="s">
        <v>54</v>
      </c>
      <c r="D4" s="11" t="s">
        <v>55</v>
      </c>
      <c r="E4" s="11">
        <v>1</v>
      </c>
      <c r="F4" s="12">
        <v>1200</v>
      </c>
      <c r="G4" s="12">
        <f t="shared" si="0"/>
        <v>1200</v>
      </c>
      <c r="H4" s="11" t="s">
        <v>50</v>
      </c>
      <c r="I4" s="11" t="s">
        <v>56</v>
      </c>
      <c r="J4" s="11" t="s">
        <v>53</v>
      </c>
    </row>
    <row r="5" spans="1:10">
      <c r="A5" s="9" t="s">
        <v>57</v>
      </c>
      <c r="B5" s="9" t="s">
        <v>58</v>
      </c>
      <c r="C5" s="9" t="s">
        <v>59</v>
      </c>
      <c r="D5" s="9" t="s">
        <v>60</v>
      </c>
      <c r="E5" s="9">
        <v>10</v>
      </c>
      <c r="F5" s="10">
        <v>150</v>
      </c>
      <c r="G5" s="10">
        <f t="shared" si="0"/>
        <v>1500</v>
      </c>
      <c r="H5" s="9" t="s">
        <v>50</v>
      </c>
      <c r="I5" s="9" t="s">
        <v>61</v>
      </c>
      <c r="J5" s="9" t="s">
        <v>58</v>
      </c>
    </row>
    <row r="6" spans="1:10">
      <c r="A6" s="11" t="s">
        <v>62</v>
      </c>
      <c r="B6" s="11" t="s">
        <v>63</v>
      </c>
      <c r="C6" s="11" t="s">
        <v>64</v>
      </c>
      <c r="D6" s="11" t="s">
        <v>65</v>
      </c>
      <c r="E6" s="11">
        <v>1</v>
      </c>
      <c r="F6" s="12">
        <v>3500</v>
      </c>
      <c r="G6" s="12">
        <f t="shared" si="0"/>
        <v>3500</v>
      </c>
      <c r="H6" s="11" t="s">
        <v>50</v>
      </c>
      <c r="I6" s="11" t="s">
        <v>66</v>
      </c>
      <c r="J6" s="11" t="s">
        <v>63</v>
      </c>
    </row>
    <row r="7" spans="1:10">
      <c r="A7" s="9" t="s">
        <v>67</v>
      </c>
      <c r="B7" s="9" t="s">
        <v>68</v>
      </c>
      <c r="C7" s="9" t="s">
        <v>69</v>
      </c>
      <c r="D7" s="9" t="s">
        <v>70</v>
      </c>
      <c r="E7" s="9">
        <v>1</v>
      </c>
      <c r="F7" s="10">
        <v>2800</v>
      </c>
      <c r="G7" s="10">
        <f t="shared" si="0"/>
        <v>2800</v>
      </c>
      <c r="H7" s="9" t="s">
        <v>50</v>
      </c>
      <c r="I7" s="9" t="s">
        <v>71</v>
      </c>
      <c r="J7" s="9" t="s">
        <v>68</v>
      </c>
    </row>
    <row r="8" spans="1:10">
      <c r="A8" s="11" t="s">
        <v>72</v>
      </c>
      <c r="B8" s="11" t="s">
        <v>73</v>
      </c>
      <c r="C8" s="11" t="s">
        <v>74</v>
      </c>
      <c r="D8" s="11" t="s">
        <v>75</v>
      </c>
      <c r="E8" s="11">
        <v>5</v>
      </c>
      <c r="F8" s="12">
        <v>75</v>
      </c>
      <c r="G8" s="12">
        <f t="shared" si="0"/>
        <v>375</v>
      </c>
      <c r="H8" s="11" t="s">
        <v>50</v>
      </c>
      <c r="I8" s="11" t="s">
        <v>76</v>
      </c>
      <c r="J8" s="11" t="s">
        <v>73</v>
      </c>
    </row>
    <row r="9" spans="1:10">
      <c r="A9" s="9" t="s">
        <v>77</v>
      </c>
      <c r="B9" s="9" t="s">
        <v>78</v>
      </c>
      <c r="C9" s="9" t="s">
        <v>79</v>
      </c>
      <c r="D9" s="9" t="s">
        <v>80</v>
      </c>
      <c r="E9" s="9">
        <v>3</v>
      </c>
      <c r="F9" s="10">
        <v>500</v>
      </c>
      <c r="G9" s="10">
        <f t="shared" si="0"/>
        <v>1500</v>
      </c>
      <c r="H9" s="9" t="s">
        <v>50</v>
      </c>
      <c r="I9" s="9" t="s">
        <v>81</v>
      </c>
      <c r="J9" s="9" t="s">
        <v>78</v>
      </c>
    </row>
    <row r="10" spans="1:10">
      <c r="A10" s="11" t="s">
        <v>82</v>
      </c>
      <c r="B10" s="11" t="s">
        <v>83</v>
      </c>
      <c r="C10" s="11" t="s">
        <v>84</v>
      </c>
      <c r="D10" s="11" t="s">
        <v>85</v>
      </c>
      <c r="E10" s="11">
        <v>1</v>
      </c>
      <c r="F10" s="12">
        <v>5000</v>
      </c>
      <c r="G10" s="12">
        <f t="shared" si="0"/>
        <v>5000</v>
      </c>
      <c r="H10" s="11" t="s">
        <v>50</v>
      </c>
      <c r="I10" s="11" t="s">
        <v>86</v>
      </c>
      <c r="J10" s="11" t="s">
        <v>83</v>
      </c>
    </row>
    <row r="11" spans="1:10">
      <c r="A11" s="9" t="s">
        <v>87</v>
      </c>
      <c r="B11" s="9" t="s">
        <v>88</v>
      </c>
      <c r="C11" s="9" t="s">
        <v>89</v>
      </c>
      <c r="D11" s="9" t="s">
        <v>90</v>
      </c>
      <c r="E11" s="9">
        <v>20</v>
      </c>
      <c r="F11" s="10">
        <v>125</v>
      </c>
      <c r="G11" s="10">
        <f t="shared" si="0"/>
        <v>2500</v>
      </c>
      <c r="H11" s="9" t="s">
        <v>50</v>
      </c>
      <c r="I11" s="9" t="s">
        <v>91</v>
      </c>
      <c r="J11" s="9" t="s">
        <v>88</v>
      </c>
    </row>
    <row r="12" spans="1:10">
      <c r="A12" s="11" t="s">
        <v>92</v>
      </c>
      <c r="B12" s="11" t="s">
        <v>91</v>
      </c>
      <c r="C12" s="11" t="s">
        <v>93</v>
      </c>
      <c r="D12" s="11" t="s">
        <v>94</v>
      </c>
      <c r="E12" s="11">
        <v>1</v>
      </c>
      <c r="F12" s="12">
        <v>800</v>
      </c>
      <c r="G12" s="12">
        <f t="shared" si="0"/>
        <v>800</v>
      </c>
      <c r="H12" s="11" t="s">
        <v>50</v>
      </c>
      <c r="I12" s="11" t="s">
        <v>95</v>
      </c>
      <c r="J12" s="11" t="s">
        <v>91</v>
      </c>
    </row>
    <row r="13" spans="1:10">
      <c r="A13" s="9" t="s">
        <v>96</v>
      </c>
      <c r="B13" s="9" t="s">
        <v>97</v>
      </c>
      <c r="C13" s="9" t="s">
        <v>48</v>
      </c>
      <c r="D13" s="9" t="s">
        <v>49</v>
      </c>
      <c r="E13" s="9">
        <v>1</v>
      </c>
      <c r="F13" s="10">
        <v>2500</v>
      </c>
      <c r="G13" s="10">
        <f t="shared" si="0"/>
        <v>2500</v>
      </c>
      <c r="H13" s="9" t="s">
        <v>50</v>
      </c>
      <c r="I13" s="9" t="s">
        <v>98</v>
      </c>
      <c r="J13" s="9" t="s">
        <v>97</v>
      </c>
    </row>
    <row r="14" spans="1:10">
      <c r="A14" s="11" t="s">
        <v>99</v>
      </c>
      <c r="B14" s="11" t="s">
        <v>100</v>
      </c>
      <c r="C14" s="11" t="s">
        <v>54</v>
      </c>
      <c r="D14" s="11" t="s">
        <v>55</v>
      </c>
      <c r="E14" s="11">
        <v>1</v>
      </c>
      <c r="F14" s="12">
        <v>1200</v>
      </c>
      <c r="G14" s="12">
        <f t="shared" si="0"/>
        <v>1200</v>
      </c>
      <c r="H14" s="11" t="s">
        <v>50</v>
      </c>
      <c r="I14" s="11" t="s">
        <v>98</v>
      </c>
      <c r="J14" s="11" t="s">
        <v>100</v>
      </c>
    </row>
    <row r="15" spans="1:10">
      <c r="A15" s="9" t="s">
        <v>101</v>
      </c>
      <c r="B15" s="9" t="s">
        <v>102</v>
      </c>
      <c r="C15" s="9" t="s">
        <v>59</v>
      </c>
      <c r="D15" s="9" t="s">
        <v>60</v>
      </c>
      <c r="E15" s="9">
        <v>10</v>
      </c>
      <c r="F15" s="10">
        <v>150</v>
      </c>
      <c r="G15" s="10">
        <f t="shared" si="0"/>
        <v>1500</v>
      </c>
      <c r="H15" s="9" t="s">
        <v>50</v>
      </c>
      <c r="I15" s="9" t="s">
        <v>51</v>
      </c>
      <c r="J15" s="9" t="s">
        <v>102</v>
      </c>
    </row>
    <row r="16" spans="1:10">
      <c r="A16" s="11" t="s">
        <v>103</v>
      </c>
      <c r="B16" s="11" t="s">
        <v>104</v>
      </c>
      <c r="C16" s="11" t="s">
        <v>64</v>
      </c>
      <c r="D16" s="11" t="s">
        <v>65</v>
      </c>
      <c r="E16" s="11">
        <v>1</v>
      </c>
      <c r="F16" s="12">
        <v>3500</v>
      </c>
      <c r="G16" s="12">
        <f t="shared" si="0"/>
        <v>3500</v>
      </c>
      <c r="H16" s="11" t="s">
        <v>50</v>
      </c>
      <c r="I16" s="11" t="s">
        <v>56</v>
      </c>
      <c r="J16" s="11" t="s">
        <v>104</v>
      </c>
    </row>
    <row r="17" spans="1:10">
      <c r="A17" s="9" t="s">
        <v>105</v>
      </c>
      <c r="B17" s="9" t="s">
        <v>106</v>
      </c>
      <c r="C17" s="9" t="s">
        <v>69</v>
      </c>
      <c r="D17" s="9" t="s">
        <v>70</v>
      </c>
      <c r="E17" s="9">
        <v>1</v>
      </c>
      <c r="F17" s="10">
        <v>2800</v>
      </c>
      <c r="G17" s="10">
        <f t="shared" si="0"/>
        <v>2800</v>
      </c>
      <c r="H17" s="9" t="s">
        <v>50</v>
      </c>
      <c r="I17" s="9" t="s">
        <v>61</v>
      </c>
      <c r="J17" s="9" t="s">
        <v>106</v>
      </c>
    </row>
    <row r="18" spans="1:10">
      <c r="A18" s="11" t="s">
        <v>107</v>
      </c>
      <c r="B18" s="11" t="s">
        <v>108</v>
      </c>
      <c r="C18" s="11" t="s">
        <v>74</v>
      </c>
      <c r="D18" s="11" t="s">
        <v>75</v>
      </c>
      <c r="E18" s="11">
        <v>5</v>
      </c>
      <c r="F18" s="12">
        <v>75</v>
      </c>
      <c r="G18" s="12">
        <f t="shared" si="0"/>
        <v>375</v>
      </c>
      <c r="H18" s="11" t="s">
        <v>50</v>
      </c>
      <c r="I18" s="11" t="s">
        <v>66</v>
      </c>
      <c r="J18" s="11" t="s">
        <v>108</v>
      </c>
    </row>
    <row r="19" spans="1:10">
      <c r="A19" s="9" t="s">
        <v>109</v>
      </c>
      <c r="B19" s="9" t="s">
        <v>110</v>
      </c>
      <c r="C19" s="9" t="s">
        <v>79</v>
      </c>
      <c r="D19" s="9" t="s">
        <v>80</v>
      </c>
      <c r="E19" s="9">
        <v>3</v>
      </c>
      <c r="F19" s="10">
        <v>500</v>
      </c>
      <c r="G19" s="10">
        <f t="shared" si="0"/>
        <v>1500</v>
      </c>
      <c r="H19" s="9" t="s">
        <v>50</v>
      </c>
      <c r="I19" s="9" t="s">
        <v>71</v>
      </c>
      <c r="J19" s="9" t="s">
        <v>110</v>
      </c>
    </row>
    <row r="20" spans="1:10">
      <c r="A20" s="11" t="s">
        <v>111</v>
      </c>
      <c r="B20" s="11" t="s">
        <v>112</v>
      </c>
      <c r="C20" s="11" t="s">
        <v>84</v>
      </c>
      <c r="D20" s="11" t="s">
        <v>85</v>
      </c>
      <c r="E20" s="11">
        <v>1</v>
      </c>
      <c r="F20" s="12">
        <v>5000</v>
      </c>
      <c r="G20" s="12">
        <f t="shared" si="0"/>
        <v>5000</v>
      </c>
      <c r="H20" s="11" t="s">
        <v>22</v>
      </c>
      <c r="I20" s="11" t="s">
        <v>76</v>
      </c>
      <c r="J20" s="11" t="s">
        <v>113</v>
      </c>
    </row>
    <row r="21" spans="1:10">
      <c r="A21" s="9" t="s">
        <v>114</v>
      </c>
      <c r="B21" s="9" t="s">
        <v>115</v>
      </c>
      <c r="C21" s="9" t="s">
        <v>89</v>
      </c>
      <c r="D21" s="9" t="s">
        <v>90</v>
      </c>
      <c r="E21" s="9">
        <v>20</v>
      </c>
      <c r="F21" s="10">
        <v>125</v>
      </c>
      <c r="G21" s="10">
        <f t="shared" si="0"/>
        <v>2500</v>
      </c>
      <c r="H21" s="9" t="s">
        <v>22</v>
      </c>
      <c r="I21" s="9" t="s">
        <v>81</v>
      </c>
      <c r="J21" s="9" t="s">
        <v>113</v>
      </c>
    </row>
    <row r="22" spans="1:10">
      <c r="A22" s="11" t="s">
        <v>116</v>
      </c>
      <c r="B22" s="11" t="s">
        <v>117</v>
      </c>
      <c r="C22" s="11" t="s">
        <v>93</v>
      </c>
      <c r="D22" s="11" t="s">
        <v>94</v>
      </c>
      <c r="E22" s="11">
        <v>1</v>
      </c>
      <c r="F22" s="12">
        <v>800</v>
      </c>
      <c r="G22" s="12">
        <f t="shared" si="0"/>
        <v>800</v>
      </c>
      <c r="H22" s="11" t="s">
        <v>118</v>
      </c>
      <c r="I22" s="11" t="s">
        <v>86</v>
      </c>
      <c r="J22" s="11" t="s">
        <v>113</v>
      </c>
    </row>
    <row r="23" spans="1:10">
      <c r="A23" s="9" t="s">
        <v>119</v>
      </c>
      <c r="B23" s="9" t="s">
        <v>120</v>
      </c>
      <c r="C23" s="9" t="s">
        <v>48</v>
      </c>
      <c r="D23" s="9" t="s">
        <v>49</v>
      </c>
      <c r="E23" s="9">
        <v>1</v>
      </c>
      <c r="F23" s="10">
        <v>2500</v>
      </c>
      <c r="G23" s="10">
        <f t="shared" si="0"/>
        <v>2500</v>
      </c>
      <c r="H23" s="9" t="s">
        <v>50</v>
      </c>
      <c r="I23" s="9" t="s">
        <v>91</v>
      </c>
      <c r="J23" s="9" t="s">
        <v>120</v>
      </c>
    </row>
    <row r="24" spans="1:10">
      <c r="A24" s="11" t="s">
        <v>121</v>
      </c>
      <c r="B24" s="11" t="s">
        <v>122</v>
      </c>
      <c r="C24" s="11" t="s">
        <v>54</v>
      </c>
      <c r="D24" s="11" t="s">
        <v>55</v>
      </c>
      <c r="E24" s="11">
        <v>1</v>
      </c>
      <c r="F24" s="12">
        <v>1200</v>
      </c>
      <c r="G24" s="12">
        <f t="shared" si="0"/>
        <v>1200</v>
      </c>
      <c r="H24" s="11" t="s">
        <v>50</v>
      </c>
      <c r="I24" s="11" t="s">
        <v>95</v>
      </c>
      <c r="J24" s="11" t="s">
        <v>122</v>
      </c>
    </row>
    <row r="25" spans="1:10">
      <c r="A25" s="9" t="s">
        <v>123</v>
      </c>
      <c r="B25" s="9" t="s">
        <v>124</v>
      </c>
      <c r="C25" s="9" t="s">
        <v>59</v>
      </c>
      <c r="D25" s="9" t="s">
        <v>60</v>
      </c>
      <c r="E25" s="9">
        <v>10</v>
      </c>
      <c r="F25" s="10">
        <v>150</v>
      </c>
      <c r="G25" s="10">
        <f t="shared" si="0"/>
        <v>1500</v>
      </c>
      <c r="H25" s="9" t="s">
        <v>22</v>
      </c>
      <c r="I25" s="9" t="s">
        <v>98</v>
      </c>
      <c r="J25" s="9" t="s">
        <v>113</v>
      </c>
    </row>
    <row r="26" spans="1:10">
      <c r="A26" s="11" t="s">
        <v>125</v>
      </c>
      <c r="B26" s="11" t="s">
        <v>126</v>
      </c>
      <c r="C26" s="11" t="s">
        <v>64</v>
      </c>
      <c r="D26" s="11" t="s">
        <v>65</v>
      </c>
      <c r="E26" s="11">
        <v>1</v>
      </c>
      <c r="F26" s="12">
        <v>3500</v>
      </c>
      <c r="G26" s="12">
        <f t="shared" si="0"/>
        <v>3500</v>
      </c>
      <c r="H26" s="11" t="s">
        <v>50</v>
      </c>
      <c r="I26" s="11" t="s">
        <v>98</v>
      </c>
      <c r="J26" s="11" t="s">
        <v>126</v>
      </c>
    </row>
    <row r="27" spans="1:10">
      <c r="A27" s="9" t="s">
        <v>127</v>
      </c>
      <c r="B27" s="9" t="s">
        <v>128</v>
      </c>
      <c r="C27" s="9" t="s">
        <v>69</v>
      </c>
      <c r="D27" s="9" t="s">
        <v>70</v>
      </c>
      <c r="E27" s="9">
        <v>1</v>
      </c>
      <c r="F27" s="10">
        <v>2800</v>
      </c>
      <c r="G27" s="10">
        <f t="shared" si="0"/>
        <v>2800</v>
      </c>
      <c r="H27" s="9" t="s">
        <v>50</v>
      </c>
      <c r="I27" s="9" t="s">
        <v>51</v>
      </c>
      <c r="J27" s="9" t="s">
        <v>128</v>
      </c>
    </row>
    <row r="28" spans="1:10">
      <c r="A28" s="17" t="s">
        <v>35</v>
      </c>
      <c r="E28" s="17">
        <f>SUM(E3:E27)</f>
        <v>102</v>
      </c>
      <c r="G28" s="18">
        <f>SUM(G3:G27)</f>
        <v>54850</v>
      </c>
    </row>
  </sheetData>
  <mergeCells count="1">
    <mergeCell ref="A1:J1"/>
  </mergeCells>
  <conditionalFormatting sqref="G3:G27">
    <cfRule type="dataBar" priority="4">
      <dataBar>
        <cfvo type="min"/>
        <cfvo type="max"/>
        <color rgb="FF2E75B6"/>
      </dataBar>
      <extLst>
        <ext xmlns:x14="http://schemas.microsoft.com/office/spreadsheetml/2009/9/main" uri="{B025F937-C7B1-47D3-B67F-A62EFF666E3E}">
          <x14:id>{9ad79fdc-ccaa-4a98-97f0-9dfce7c7e169}</x14:id>
        </ext>
      </extLst>
    </cfRule>
  </conditionalFormatting>
  <conditionalFormatting sqref="H3:H200">
    <cfRule type="cellIs" dxfId="0" priority="1" operator="equal">
      <formula>"Overdue"</formula>
    </cfRule>
    <cfRule type="cellIs" dxfId="1" priority="2" operator="equal">
      <formula>"Outstanding"</formula>
    </cfRule>
    <cfRule type="cellIs" dxfId="2" priority="3" operator="equal">
      <formula>"Paid"</formula>
    </cfRule>
  </conditionalFormatting>
  <dataValidations count="1">
    <dataValidation type="list" allowBlank="1" error="Please select a valid status" sqref="H3:H200">
      <formula1>"Paid,Outstanding,Overdue,Cancelled"</formula1>
    </dataValidation>
  </dataValidation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ad79fdc-ccaa-4a98-97f0-9dfce7c7e169}">
            <x14:dataBar minLength="10" maxLength="90" negativeBarColorSameAsPositive="1" axisPosition="none">
              <x14:cfvo type="min"/>
              <x14:cfvo type="max"/>
              <x14:axisColor indexed="65"/>
            </x14:dataBar>
          </x14:cfRule>
          <xm:sqref>G3:G27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AD47"/>
  </sheetPr>
  <dimension ref="A1:I17"/>
  <sheetViews>
    <sheetView workbookViewId="0">
      <pane ySplit="2" topLeftCell="A3" activePane="bottomLeft" state="frozen"/>
      <selection/>
      <selection pane="bottomLeft" activeCell="B20" sqref="B20"/>
    </sheetView>
  </sheetViews>
  <sheetFormatPr defaultColWidth="9" defaultRowHeight="14.4"/>
  <cols>
    <col min="1" max="1" width="10" customWidth="1"/>
    <col min="2" max="2" width="20" customWidth="1"/>
    <col min="3" max="3" width="16" customWidth="1"/>
    <col min="4" max="4" width="24" customWidth="1"/>
    <col min="5" max="5" width="14" customWidth="1"/>
    <col min="6" max="6" width="28" customWidth="1"/>
    <col min="7" max="7" width="16" customWidth="1"/>
    <col min="8" max="9" width="14" customWidth="1"/>
  </cols>
  <sheetData>
    <row r="1" ht="21" spans="1:9">
      <c r="A1" s="1" t="s">
        <v>129</v>
      </c>
    </row>
    <row r="2" spans="1:9">
      <c r="A2" s="38" t="s">
        <v>130</v>
      </c>
      <c r="B2" s="38" t="s">
        <v>131</v>
      </c>
      <c r="C2" s="38" t="s">
        <v>132</v>
      </c>
      <c r="D2" s="38" t="s">
        <v>133</v>
      </c>
      <c r="E2" s="38" t="s">
        <v>134</v>
      </c>
      <c r="F2" s="38" t="s">
        <v>135</v>
      </c>
      <c r="G2" s="38" t="s">
        <v>136</v>
      </c>
      <c r="H2" s="38" t="s">
        <v>137</v>
      </c>
      <c r="I2" s="38" t="s">
        <v>21</v>
      </c>
    </row>
    <row r="3" spans="1:9">
      <c r="A3" s="9" t="s">
        <v>138</v>
      </c>
      <c r="B3" s="9" t="s">
        <v>48</v>
      </c>
      <c r="C3" s="9" t="s">
        <v>139</v>
      </c>
      <c r="D3" s="9" t="s">
        <v>140</v>
      </c>
      <c r="E3" s="9" t="s">
        <v>141</v>
      </c>
      <c r="F3" s="9" t="s">
        <v>142</v>
      </c>
      <c r="G3" s="9" t="s">
        <v>143</v>
      </c>
      <c r="H3" s="9" t="s">
        <v>144</v>
      </c>
      <c r="I3" s="10">
        <f>SUMIF('Invoice Log'!C:C,B3,'Invoice Log'!G:G)</f>
        <v>7500</v>
      </c>
    </row>
    <row r="4" spans="1:9">
      <c r="A4" s="11" t="s">
        <v>145</v>
      </c>
      <c r="B4" s="11" t="s">
        <v>54</v>
      </c>
      <c r="C4" s="11" t="s">
        <v>146</v>
      </c>
      <c r="D4" s="11" t="s">
        <v>147</v>
      </c>
      <c r="E4" s="11" t="s">
        <v>148</v>
      </c>
      <c r="F4" s="11" t="s">
        <v>149</v>
      </c>
      <c r="G4" s="11" t="s">
        <v>150</v>
      </c>
      <c r="H4" s="11" t="s">
        <v>151</v>
      </c>
      <c r="I4" s="12">
        <f>SUMIF('Invoice Log'!C:C,B4,'Invoice Log'!G:G)</f>
        <v>3600</v>
      </c>
    </row>
    <row r="5" spans="1:9">
      <c r="A5" s="9" t="s">
        <v>152</v>
      </c>
      <c r="B5" s="9" t="s">
        <v>59</v>
      </c>
      <c r="C5" s="9" t="s">
        <v>153</v>
      </c>
      <c r="D5" s="9" t="s">
        <v>154</v>
      </c>
      <c r="E5" s="9" t="s">
        <v>155</v>
      </c>
      <c r="F5" s="9" t="s">
        <v>156</v>
      </c>
      <c r="G5" s="9" t="s">
        <v>157</v>
      </c>
      <c r="H5" s="9" t="s">
        <v>144</v>
      </c>
      <c r="I5" s="10">
        <f>SUMIF('Invoice Log'!C:C,B5,'Invoice Log'!G:G)</f>
        <v>4500</v>
      </c>
    </row>
    <row r="6" spans="1:9">
      <c r="A6" s="11" t="s">
        <v>158</v>
      </c>
      <c r="B6" s="11" t="s">
        <v>64</v>
      </c>
      <c r="C6" s="11" t="s">
        <v>159</v>
      </c>
      <c r="D6" s="11" t="s">
        <v>160</v>
      </c>
      <c r="E6" s="11" t="s">
        <v>161</v>
      </c>
      <c r="F6" s="11" t="s">
        <v>162</v>
      </c>
      <c r="G6" s="11" t="s">
        <v>163</v>
      </c>
      <c r="H6" s="11" t="s">
        <v>164</v>
      </c>
      <c r="I6" s="12">
        <f>SUMIF('Invoice Log'!C:C,B6,'Invoice Log'!G:G)</f>
        <v>10500</v>
      </c>
    </row>
    <row r="7" spans="1:9">
      <c r="A7" s="9" t="s">
        <v>165</v>
      </c>
      <c r="B7" s="9" t="s">
        <v>69</v>
      </c>
      <c r="C7" s="9" t="s">
        <v>166</v>
      </c>
      <c r="D7" s="9" t="s">
        <v>167</v>
      </c>
      <c r="E7" s="9" t="s">
        <v>168</v>
      </c>
      <c r="F7" s="9" t="s">
        <v>169</v>
      </c>
      <c r="G7" s="9" t="s">
        <v>170</v>
      </c>
      <c r="H7" s="9" t="s">
        <v>144</v>
      </c>
      <c r="I7" s="10">
        <f>SUMIF('Invoice Log'!C:C,B7,'Invoice Log'!G:G)</f>
        <v>8400</v>
      </c>
    </row>
    <row r="8" spans="1:9">
      <c r="A8" s="11" t="s">
        <v>171</v>
      </c>
      <c r="B8" s="11" t="s">
        <v>74</v>
      </c>
      <c r="C8" s="11" t="s">
        <v>172</v>
      </c>
      <c r="D8" s="11" t="s">
        <v>173</v>
      </c>
      <c r="E8" s="11" t="s">
        <v>174</v>
      </c>
      <c r="F8" s="11" t="s">
        <v>175</v>
      </c>
      <c r="G8" s="11" t="s">
        <v>90</v>
      </c>
      <c r="H8" s="11" t="s">
        <v>144</v>
      </c>
      <c r="I8" s="12">
        <f>SUMIF('Invoice Log'!C:C,B8,'Invoice Log'!G:G)</f>
        <v>750</v>
      </c>
    </row>
    <row r="9" spans="1:9">
      <c r="A9" s="9" t="s">
        <v>176</v>
      </c>
      <c r="B9" s="9" t="s">
        <v>79</v>
      </c>
      <c r="C9" s="9" t="s">
        <v>177</v>
      </c>
      <c r="D9" s="9" t="s">
        <v>178</v>
      </c>
      <c r="E9" s="9" t="s">
        <v>179</v>
      </c>
      <c r="F9" s="9" t="s">
        <v>180</v>
      </c>
      <c r="G9" s="9" t="s">
        <v>181</v>
      </c>
      <c r="H9" s="9" t="s">
        <v>182</v>
      </c>
      <c r="I9" s="10">
        <f>SUMIF('Invoice Log'!C:C,B9,'Invoice Log'!G:G)</f>
        <v>3000</v>
      </c>
    </row>
    <row r="10" spans="1:9">
      <c r="A10" s="11" t="s">
        <v>183</v>
      </c>
      <c r="B10" s="11" t="s">
        <v>84</v>
      </c>
      <c r="C10" s="11" t="s">
        <v>184</v>
      </c>
      <c r="D10" s="11" t="s">
        <v>185</v>
      </c>
      <c r="E10" s="11" t="s">
        <v>186</v>
      </c>
      <c r="F10" s="11" t="s">
        <v>187</v>
      </c>
      <c r="G10" s="11" t="s">
        <v>188</v>
      </c>
      <c r="H10" s="11" t="s">
        <v>151</v>
      </c>
      <c r="I10" s="12">
        <f>SUMIF('Invoice Log'!C:C,B10,'Invoice Log'!G:G)</f>
        <v>10000</v>
      </c>
    </row>
    <row r="11" spans="1:9">
      <c r="A11" s="9" t="s">
        <v>189</v>
      </c>
      <c r="B11" s="9" t="s">
        <v>89</v>
      </c>
      <c r="C11" s="9" t="s">
        <v>190</v>
      </c>
      <c r="D11" s="9" t="s">
        <v>191</v>
      </c>
      <c r="E11" s="9" t="s">
        <v>192</v>
      </c>
      <c r="F11" s="9" t="s">
        <v>193</v>
      </c>
      <c r="G11" s="9" t="s">
        <v>194</v>
      </c>
      <c r="H11" s="9" t="s">
        <v>144</v>
      </c>
      <c r="I11" s="10">
        <f>SUMIF('Invoice Log'!C:C,B11,'Invoice Log'!G:G)</f>
        <v>5000</v>
      </c>
    </row>
    <row r="12" spans="1:9">
      <c r="A12" s="11" t="s">
        <v>195</v>
      </c>
      <c r="B12" s="11" t="s">
        <v>93</v>
      </c>
      <c r="C12" s="11" t="s">
        <v>196</v>
      </c>
      <c r="D12" s="11" t="s">
        <v>197</v>
      </c>
      <c r="E12" s="11" t="s">
        <v>198</v>
      </c>
      <c r="F12" s="11" t="s">
        <v>199</v>
      </c>
      <c r="G12" s="11" t="s">
        <v>90</v>
      </c>
      <c r="H12" s="11" t="s">
        <v>144</v>
      </c>
      <c r="I12" s="12">
        <f>SUMIF('Invoice Log'!C:C,B12,'Invoice Log'!G:G)</f>
        <v>1600</v>
      </c>
    </row>
    <row r="13" spans="1:9">
      <c r="A13" s="9" t="s">
        <v>200</v>
      </c>
      <c r="B13" s="9" t="s">
        <v>201</v>
      </c>
      <c r="C13" s="9" t="s">
        <v>202</v>
      </c>
      <c r="D13" s="9" t="s">
        <v>203</v>
      </c>
      <c r="E13" s="9" t="s">
        <v>204</v>
      </c>
      <c r="F13" s="9" t="s">
        <v>205</v>
      </c>
      <c r="G13" s="9" t="s">
        <v>206</v>
      </c>
      <c r="H13" s="9" t="s">
        <v>144</v>
      </c>
      <c r="I13" s="10">
        <f>SUMIF('Invoice Log'!C:C,B13,'Invoice Log'!G:G)</f>
        <v>0</v>
      </c>
    </row>
    <row r="14" spans="1:9">
      <c r="A14" s="11" t="s">
        <v>207</v>
      </c>
      <c r="B14" s="11" t="s">
        <v>208</v>
      </c>
      <c r="C14" s="11" t="s">
        <v>209</v>
      </c>
      <c r="D14" s="11" t="s">
        <v>210</v>
      </c>
      <c r="E14" s="11" t="s">
        <v>211</v>
      </c>
      <c r="F14" s="11" t="s">
        <v>212</v>
      </c>
      <c r="G14" s="11" t="s">
        <v>213</v>
      </c>
      <c r="H14" s="11" t="s">
        <v>151</v>
      </c>
      <c r="I14" s="12">
        <f>SUMIF('Invoice Log'!C:C,B14,'Invoice Log'!G:G)</f>
        <v>0</v>
      </c>
    </row>
    <row r="15" spans="1:9">
      <c r="A15" s="9" t="s">
        <v>214</v>
      </c>
      <c r="B15" s="9" t="s">
        <v>215</v>
      </c>
      <c r="C15" s="9" t="s">
        <v>216</v>
      </c>
      <c r="D15" s="9" t="s">
        <v>217</v>
      </c>
      <c r="E15" s="9" t="s">
        <v>218</v>
      </c>
      <c r="F15" s="9" t="s">
        <v>219</v>
      </c>
      <c r="G15" s="9" t="s">
        <v>220</v>
      </c>
      <c r="H15" s="9" t="s">
        <v>164</v>
      </c>
      <c r="I15" s="10">
        <f>SUMIF('Invoice Log'!C:C,B15,'Invoice Log'!G:G)</f>
        <v>0</v>
      </c>
    </row>
    <row r="16" spans="1:9">
      <c r="A16" s="11" t="s">
        <v>221</v>
      </c>
      <c r="B16" s="11" t="s">
        <v>222</v>
      </c>
      <c r="C16" s="11" t="s">
        <v>223</v>
      </c>
      <c r="D16" s="11" t="s">
        <v>224</v>
      </c>
      <c r="E16" s="11" t="s">
        <v>225</v>
      </c>
      <c r="F16" s="11" t="s">
        <v>226</v>
      </c>
      <c r="G16" s="11" t="s">
        <v>188</v>
      </c>
      <c r="H16" s="11" t="s">
        <v>144</v>
      </c>
      <c r="I16" s="12">
        <f>SUMIF('Invoice Log'!C:C,B16,'Invoice Log'!G:G)</f>
        <v>0</v>
      </c>
    </row>
    <row r="17" spans="1:9">
      <c r="A17" s="9" t="s">
        <v>227</v>
      </c>
      <c r="B17" s="9" t="s">
        <v>228</v>
      </c>
      <c r="C17" s="9" t="s">
        <v>229</v>
      </c>
      <c r="D17" s="9" t="s">
        <v>230</v>
      </c>
      <c r="E17" s="9" t="s">
        <v>231</v>
      </c>
      <c r="F17" s="9" t="s">
        <v>232</v>
      </c>
      <c r="G17" s="9" t="s">
        <v>143</v>
      </c>
      <c r="H17" s="9" t="s">
        <v>144</v>
      </c>
      <c r="I17" s="10">
        <f>SUMIF('Invoice Log'!C:C,B17,'Invoice Log'!G:G)</f>
        <v>0</v>
      </c>
    </row>
  </sheetData>
  <mergeCells count="1">
    <mergeCell ref="A1:I1"/>
  </mergeCells>
  <dataValidations count="2">
    <dataValidation type="list" allowBlank="1" sqref="G3:G200">
      <formula1>"Technology,Startup,Media,Legal,Design,Consulting,Finance,Marketing,Investment,R&amp;D,Entertainment,Manufacturing,Healthcare,Education,Other"</formula1>
    </dataValidation>
    <dataValidation type="list" allowBlank="1" sqref="H3:H200">
      <formula1>"Net 15,Net 30,Net 45,Net 60,Due on receipt"</formula1>
    </dataValidation>
  </dataValidation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ED7D31"/>
  </sheetPr>
  <dimension ref="A1:F31"/>
  <sheetViews>
    <sheetView workbookViewId="0">
      <selection activeCell="A20" sqref="A20:D20"/>
    </sheetView>
  </sheetViews>
  <sheetFormatPr defaultColWidth="9" defaultRowHeight="14.4" outlineLevelCol="5"/>
  <cols>
    <col min="1" max="1" width="6" customWidth="1"/>
    <col min="2" max="2" width="40" customWidth="1"/>
    <col min="3" max="3" width="8" customWidth="1"/>
    <col min="4" max="4" width="14" customWidth="1"/>
    <col min="5" max="5" width="12" customWidth="1"/>
    <col min="6" max="6" width="14" customWidth="1"/>
  </cols>
  <sheetData>
    <row r="1" ht="28.8" spans="1:6">
      <c r="A1" s="19" t="s">
        <v>233</v>
      </c>
    </row>
    <row r="2" spans="1:6">
      <c r="A2" s="20" t="s">
        <v>234</v>
      </c>
    </row>
    <row r="3" spans="1:6">
      <c r="A3" s="20" t="s">
        <v>235</v>
      </c>
    </row>
    <row r="5" ht="36.6" spans="1:6">
      <c r="A5" s="21" t="s">
        <v>236</v>
      </c>
    </row>
    <row r="7" spans="1:6">
      <c r="A7" s="22" t="s">
        <v>237</v>
      </c>
      <c r="B7" s="23" t="s">
        <v>238</v>
      </c>
      <c r="D7" s="22" t="s">
        <v>239</v>
      </c>
    </row>
    <row r="8" spans="1:6">
      <c r="A8" s="22" t="s">
        <v>240</v>
      </c>
      <c r="B8" s="23" t="s">
        <v>241</v>
      </c>
      <c r="D8" s="17" t="s">
        <v>48</v>
      </c>
    </row>
    <row r="9" spans="1:6">
      <c r="A9" s="22" t="s">
        <v>242</v>
      </c>
      <c r="B9" s="23" t="s">
        <v>243</v>
      </c>
      <c r="D9" s="23" t="s">
        <v>139</v>
      </c>
    </row>
    <row r="10" spans="1:6">
      <c r="A10" s="22" t="s">
        <v>244</v>
      </c>
      <c r="B10" s="23" t="s">
        <v>144</v>
      </c>
      <c r="D10" s="23" t="s">
        <v>245</v>
      </c>
    </row>
    <row r="11" spans="1:6">
      <c r="D11" s="23" t="s">
        <v>246</v>
      </c>
    </row>
    <row r="14" spans="1:6">
      <c r="A14" s="24" t="s">
        <v>247</v>
      </c>
      <c r="B14" s="24" t="s">
        <v>248</v>
      </c>
      <c r="C14" s="24" t="s">
        <v>40</v>
      </c>
      <c r="D14" s="24" t="s">
        <v>41</v>
      </c>
      <c r="E14" s="24" t="s">
        <v>249</v>
      </c>
      <c r="F14" s="24" t="s">
        <v>250</v>
      </c>
    </row>
    <row r="15" spans="1:6">
      <c r="A15" s="25">
        <v>1</v>
      </c>
      <c r="B15" s="26" t="s">
        <v>251</v>
      </c>
      <c r="C15" s="25">
        <v>1</v>
      </c>
      <c r="D15" s="27">
        <v>2500</v>
      </c>
      <c r="E15" s="27">
        <f>D15*0.1</f>
        <v>250</v>
      </c>
      <c r="F15" s="27">
        <f>(D15*E15)+E15</f>
        <v>625250</v>
      </c>
    </row>
    <row r="16" spans="1:6">
      <c r="A16" s="28">
        <v>2</v>
      </c>
      <c r="B16" s="29" t="s">
        <v>252</v>
      </c>
      <c r="C16" s="28">
        <v>1</v>
      </c>
      <c r="D16" s="30">
        <v>1800</v>
      </c>
      <c r="E16" s="30">
        <f>D16*0.1</f>
        <v>180</v>
      </c>
      <c r="F16" s="30">
        <f>(D16*E16)+E16</f>
        <v>324180</v>
      </c>
    </row>
    <row r="17" spans="1:6">
      <c r="A17" s="25">
        <v>3</v>
      </c>
      <c r="B17" s="26" t="s">
        <v>253</v>
      </c>
      <c r="C17" s="25">
        <v>3</v>
      </c>
      <c r="D17" s="27">
        <v>500</v>
      </c>
      <c r="E17" s="27">
        <f>D17*0.1</f>
        <v>50</v>
      </c>
      <c r="F17" s="27">
        <f>(D17*E17)+E17</f>
        <v>25050</v>
      </c>
    </row>
    <row r="18" spans="1:6">
      <c r="A18" s="28">
        <v>4</v>
      </c>
      <c r="B18" s="29" t="s">
        <v>254</v>
      </c>
      <c r="C18" s="28">
        <v>10</v>
      </c>
      <c r="D18" s="30">
        <v>75</v>
      </c>
      <c r="E18" s="30">
        <f>D18*0.1</f>
        <v>7.5</v>
      </c>
      <c r="F18" s="30">
        <f>(D18*E18)+E18</f>
        <v>570</v>
      </c>
    </row>
    <row r="19" spans="1:6">
      <c r="A19" s="25">
        <v>5</v>
      </c>
      <c r="B19" s="26" t="s">
        <v>255</v>
      </c>
      <c r="C19" s="25">
        <v>1</v>
      </c>
      <c r="D19" s="27">
        <v>600</v>
      </c>
      <c r="E19" s="27">
        <f>D19*0.1</f>
        <v>60</v>
      </c>
      <c r="F19" s="27">
        <f>(D19*E19)+E19</f>
        <v>36060</v>
      </c>
    </row>
    <row r="20" spans="1:6">
      <c r="E20" s="31" t="s">
        <v>256</v>
      </c>
      <c r="F20" s="18">
        <f>SUM(F15:F19)</f>
        <v>1011110</v>
      </c>
    </row>
    <row r="21" spans="1:6">
      <c r="E21" s="32" t="s">
        <v>257</v>
      </c>
      <c r="F21" s="33">
        <f>F20*0.1</f>
        <v>101111</v>
      </c>
    </row>
    <row r="22" spans="1:6">
      <c r="E22" s="32" t="s">
        <v>258</v>
      </c>
      <c r="F22" s="33">
        <v>0</v>
      </c>
    </row>
    <row r="23" ht="18" spans="1:6">
      <c r="E23" s="34" t="s">
        <v>259</v>
      </c>
      <c r="F23" s="35">
        <f>F20+F21-F22</f>
        <v>1112221</v>
      </c>
    </row>
    <row r="25" ht="15.6" spans="1:6">
      <c r="A25" s="36" t="s">
        <v>260</v>
      </c>
    </row>
    <row r="26" spans="1:6">
      <c r="A26" s="23" t="s">
        <v>261</v>
      </c>
    </row>
    <row r="27" spans="1:6">
      <c r="A27" s="23" t="s">
        <v>262</v>
      </c>
    </row>
    <row r="28" spans="1:6">
      <c r="A28" s="23" t="s">
        <v>263</v>
      </c>
    </row>
    <row r="29" spans="1:6">
      <c r="A29" s="23" t="s">
        <v>264</v>
      </c>
    </row>
    <row r="31" ht="15.6" spans="1:6">
      <c r="A31" s="37" t="s">
        <v>265</v>
      </c>
    </row>
  </sheetData>
  <mergeCells count="7">
    <mergeCell ref="A1:F1"/>
    <mergeCell ref="A2:F2"/>
    <mergeCell ref="A3:F3"/>
    <mergeCell ref="A5:B5"/>
    <mergeCell ref="A20:D20"/>
    <mergeCell ref="A25:F25"/>
    <mergeCell ref="A31:F31"/>
  </mergeCells>
  <pageMargins left="0.5" right="0.5" top="0.5" bottom="0.5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30A0"/>
  </sheetPr>
  <dimension ref="A1:J23"/>
  <sheetViews>
    <sheetView workbookViewId="0">
      <pane ySplit="2" topLeftCell="A3" activePane="bottomLeft" state="frozen"/>
      <selection/>
      <selection pane="bottomLeft" activeCell="B20" sqref="B20"/>
    </sheetView>
  </sheetViews>
  <sheetFormatPr defaultColWidth="9" defaultRowHeight="14.4"/>
  <cols>
    <col min="1" max="1" width="14" customWidth="1"/>
    <col min="2" max="2" width="20" customWidth="1"/>
    <col min="3" max="4" width="12" customWidth="1"/>
    <col min="5" max="8" width="14" customWidth="1"/>
    <col min="9" max="9" width="16" customWidth="1"/>
    <col min="10" max="10" width="22" customWidth="1"/>
  </cols>
  <sheetData>
    <row r="1" ht="21" spans="1:10">
      <c r="A1" s="1" t="s">
        <v>266</v>
      </c>
    </row>
    <row r="2" spans="1:10">
      <c r="A2" s="16" t="s">
        <v>36</v>
      </c>
      <c r="B2" s="16" t="s">
        <v>38</v>
      </c>
      <c r="C2" s="16" t="s">
        <v>267</v>
      </c>
      <c r="D2" s="16" t="s">
        <v>44</v>
      </c>
      <c r="E2" s="16" t="s">
        <v>250</v>
      </c>
      <c r="F2" s="16" t="s">
        <v>268</v>
      </c>
      <c r="G2" s="16" t="s">
        <v>269</v>
      </c>
      <c r="H2" s="16" t="s">
        <v>43</v>
      </c>
      <c r="I2" s="16" t="s">
        <v>270</v>
      </c>
      <c r="J2" s="16" t="s">
        <v>271</v>
      </c>
    </row>
    <row r="3" spans="1:10">
      <c r="A3" s="9" t="s">
        <v>46</v>
      </c>
      <c r="B3" s="9" t="s">
        <v>48</v>
      </c>
      <c r="C3" s="9" t="s">
        <v>47</v>
      </c>
      <c r="D3" s="9" t="s">
        <v>272</v>
      </c>
      <c r="E3" s="10">
        <v>2500</v>
      </c>
      <c r="F3" s="10">
        <v>2500</v>
      </c>
      <c r="G3" s="10">
        <f t="shared" ref="G3:G22" si="0">E3-F3</f>
        <v>0</v>
      </c>
      <c r="H3" s="9" t="s">
        <v>50</v>
      </c>
      <c r="I3" s="9" t="s">
        <v>273</v>
      </c>
      <c r="J3" s="9" t="s">
        <v>113</v>
      </c>
    </row>
    <row r="4" spans="1:10">
      <c r="A4" s="11" t="s">
        <v>52</v>
      </c>
      <c r="B4" s="11" t="s">
        <v>54</v>
      </c>
      <c r="C4" s="11" t="s">
        <v>53</v>
      </c>
      <c r="D4" s="11" t="s">
        <v>274</v>
      </c>
      <c r="E4" s="12">
        <v>1200</v>
      </c>
      <c r="F4" s="12">
        <v>1200</v>
      </c>
      <c r="G4" s="12">
        <f t="shared" si="0"/>
        <v>0</v>
      </c>
      <c r="H4" s="11" t="s">
        <v>50</v>
      </c>
      <c r="I4" s="11" t="s">
        <v>275</v>
      </c>
      <c r="J4" s="11" t="s">
        <v>113</v>
      </c>
    </row>
    <row r="5" spans="1:10">
      <c r="A5" s="9" t="s">
        <v>57</v>
      </c>
      <c r="B5" s="9" t="s">
        <v>59</v>
      </c>
      <c r="C5" s="9" t="s">
        <v>58</v>
      </c>
      <c r="D5" s="9" t="s">
        <v>276</v>
      </c>
      <c r="E5" s="10">
        <v>1500</v>
      </c>
      <c r="F5" s="10">
        <v>1500</v>
      </c>
      <c r="G5" s="10">
        <f t="shared" si="0"/>
        <v>0</v>
      </c>
      <c r="H5" s="9" t="s">
        <v>50</v>
      </c>
      <c r="I5" s="9" t="s">
        <v>277</v>
      </c>
      <c r="J5" s="9" t="s">
        <v>113</v>
      </c>
    </row>
    <row r="6" spans="1:10">
      <c r="A6" s="11" t="s">
        <v>62</v>
      </c>
      <c r="B6" s="11" t="s">
        <v>64</v>
      </c>
      <c r="C6" s="11" t="s">
        <v>63</v>
      </c>
      <c r="D6" s="11" t="s">
        <v>278</v>
      </c>
      <c r="E6" s="12">
        <v>3500</v>
      </c>
      <c r="F6" s="12">
        <v>3500</v>
      </c>
      <c r="G6" s="12">
        <f t="shared" si="0"/>
        <v>0</v>
      </c>
      <c r="H6" s="11" t="s">
        <v>50</v>
      </c>
      <c r="I6" s="11" t="s">
        <v>273</v>
      </c>
      <c r="J6" s="11" t="s">
        <v>113</v>
      </c>
    </row>
    <row r="7" spans="1:10">
      <c r="A7" s="9" t="s">
        <v>67</v>
      </c>
      <c r="B7" s="9" t="s">
        <v>69</v>
      </c>
      <c r="C7" s="9" t="s">
        <v>68</v>
      </c>
      <c r="D7" s="9" t="s">
        <v>279</v>
      </c>
      <c r="E7" s="10">
        <v>2800</v>
      </c>
      <c r="F7" s="10">
        <v>2800</v>
      </c>
      <c r="G7" s="10">
        <f t="shared" si="0"/>
        <v>0</v>
      </c>
      <c r="H7" s="9" t="s">
        <v>50</v>
      </c>
      <c r="I7" s="9" t="s">
        <v>275</v>
      </c>
      <c r="J7" s="9" t="s">
        <v>113</v>
      </c>
    </row>
    <row r="8" spans="1:10">
      <c r="A8" s="11" t="s">
        <v>72</v>
      </c>
      <c r="B8" s="11" t="s">
        <v>74</v>
      </c>
      <c r="C8" s="11" t="s">
        <v>73</v>
      </c>
      <c r="D8" s="11" t="s">
        <v>280</v>
      </c>
      <c r="E8" s="12">
        <v>375</v>
      </c>
      <c r="F8" s="12">
        <v>375</v>
      </c>
      <c r="G8" s="12">
        <f t="shared" si="0"/>
        <v>0</v>
      </c>
      <c r="H8" s="11" t="s">
        <v>50</v>
      </c>
      <c r="I8" s="11" t="s">
        <v>273</v>
      </c>
      <c r="J8" s="11" t="s">
        <v>113</v>
      </c>
    </row>
    <row r="9" spans="1:10">
      <c r="A9" s="9" t="s">
        <v>77</v>
      </c>
      <c r="B9" s="9" t="s">
        <v>79</v>
      </c>
      <c r="C9" s="9" t="s">
        <v>78</v>
      </c>
      <c r="D9" s="9" t="s">
        <v>281</v>
      </c>
      <c r="E9" s="10">
        <v>1500</v>
      </c>
      <c r="F9" s="10">
        <v>1500</v>
      </c>
      <c r="G9" s="10">
        <f t="shared" si="0"/>
        <v>0</v>
      </c>
      <c r="H9" s="9" t="s">
        <v>50</v>
      </c>
      <c r="I9" s="9" t="s">
        <v>275</v>
      </c>
      <c r="J9" s="9" t="s">
        <v>113</v>
      </c>
    </row>
    <row r="10" spans="1:10">
      <c r="A10" s="11" t="s">
        <v>82</v>
      </c>
      <c r="B10" s="11" t="s">
        <v>84</v>
      </c>
      <c r="C10" s="11" t="s">
        <v>83</v>
      </c>
      <c r="D10" s="11" t="s">
        <v>282</v>
      </c>
      <c r="E10" s="12">
        <v>5000</v>
      </c>
      <c r="F10" s="12">
        <v>5000</v>
      </c>
      <c r="G10" s="12">
        <f t="shared" si="0"/>
        <v>0</v>
      </c>
      <c r="H10" s="11" t="s">
        <v>50</v>
      </c>
      <c r="I10" s="11" t="s">
        <v>277</v>
      </c>
      <c r="J10" s="11" t="s">
        <v>113</v>
      </c>
    </row>
    <row r="11" spans="1:10">
      <c r="A11" s="9" t="s">
        <v>87</v>
      </c>
      <c r="B11" s="9" t="s">
        <v>89</v>
      </c>
      <c r="C11" s="9" t="s">
        <v>88</v>
      </c>
      <c r="D11" s="9" t="s">
        <v>283</v>
      </c>
      <c r="E11" s="10">
        <v>2500</v>
      </c>
      <c r="F11" s="10">
        <v>2500</v>
      </c>
      <c r="G11" s="10">
        <f t="shared" si="0"/>
        <v>0</v>
      </c>
      <c r="H11" s="9" t="s">
        <v>50</v>
      </c>
      <c r="I11" s="9" t="s">
        <v>273</v>
      </c>
      <c r="J11" s="9" t="s">
        <v>113</v>
      </c>
    </row>
    <row r="12" spans="1:10">
      <c r="A12" s="11" t="s">
        <v>92</v>
      </c>
      <c r="B12" s="11" t="s">
        <v>93</v>
      </c>
      <c r="C12" s="11" t="s">
        <v>91</v>
      </c>
      <c r="D12" s="11" t="s">
        <v>95</v>
      </c>
      <c r="E12" s="12">
        <v>800</v>
      </c>
      <c r="F12" s="12">
        <v>800</v>
      </c>
      <c r="G12" s="12">
        <f t="shared" si="0"/>
        <v>0</v>
      </c>
      <c r="H12" s="11" t="s">
        <v>50</v>
      </c>
      <c r="I12" s="11" t="s">
        <v>275</v>
      </c>
      <c r="J12" s="11" t="s">
        <v>113</v>
      </c>
    </row>
    <row r="13" spans="1:10">
      <c r="A13" s="9" t="s">
        <v>96</v>
      </c>
      <c r="B13" s="9" t="s">
        <v>48</v>
      </c>
      <c r="C13" s="9" t="s">
        <v>97</v>
      </c>
      <c r="D13" s="9" t="s">
        <v>284</v>
      </c>
      <c r="E13" s="10">
        <v>1800</v>
      </c>
      <c r="F13" s="10">
        <v>1800</v>
      </c>
      <c r="G13" s="10">
        <f t="shared" si="0"/>
        <v>0</v>
      </c>
      <c r="H13" s="9" t="s">
        <v>50</v>
      </c>
      <c r="I13" s="9" t="s">
        <v>273</v>
      </c>
      <c r="J13" s="9" t="s">
        <v>113</v>
      </c>
    </row>
    <row r="14" spans="1:10">
      <c r="A14" s="11" t="s">
        <v>99</v>
      </c>
      <c r="B14" s="11" t="s">
        <v>54</v>
      </c>
      <c r="C14" s="11" t="s">
        <v>100</v>
      </c>
      <c r="D14" s="11" t="s">
        <v>98</v>
      </c>
      <c r="E14" s="12">
        <v>2200</v>
      </c>
      <c r="F14" s="12">
        <v>2200</v>
      </c>
      <c r="G14" s="12">
        <f t="shared" si="0"/>
        <v>0</v>
      </c>
      <c r="H14" s="11" t="s">
        <v>50</v>
      </c>
      <c r="I14" s="11" t="s">
        <v>275</v>
      </c>
      <c r="J14" s="11" t="s">
        <v>113</v>
      </c>
    </row>
    <row r="15" spans="1:10">
      <c r="A15" s="9" t="s">
        <v>101</v>
      </c>
      <c r="B15" s="9" t="s">
        <v>59</v>
      </c>
      <c r="C15" s="9" t="s">
        <v>102</v>
      </c>
      <c r="D15" s="9" t="s">
        <v>285</v>
      </c>
      <c r="E15" s="10">
        <v>900</v>
      </c>
      <c r="F15" s="10">
        <v>900</v>
      </c>
      <c r="G15" s="10">
        <f t="shared" si="0"/>
        <v>0</v>
      </c>
      <c r="H15" s="9" t="s">
        <v>50</v>
      </c>
      <c r="I15" s="9" t="s">
        <v>277</v>
      </c>
      <c r="J15" s="9" t="s">
        <v>113</v>
      </c>
    </row>
    <row r="16" spans="1:10">
      <c r="A16" s="11" t="s">
        <v>103</v>
      </c>
      <c r="B16" s="11" t="s">
        <v>64</v>
      </c>
      <c r="C16" s="11" t="s">
        <v>104</v>
      </c>
      <c r="D16" s="11" t="s">
        <v>286</v>
      </c>
      <c r="E16" s="12">
        <v>4200</v>
      </c>
      <c r="F16" s="12">
        <v>4200</v>
      </c>
      <c r="G16" s="12">
        <f t="shared" si="0"/>
        <v>0</v>
      </c>
      <c r="H16" s="11" t="s">
        <v>50</v>
      </c>
      <c r="I16" s="11" t="s">
        <v>273</v>
      </c>
      <c r="J16" s="11" t="s">
        <v>113</v>
      </c>
    </row>
    <row r="17" spans="1:10">
      <c r="A17" s="9" t="s">
        <v>105</v>
      </c>
      <c r="B17" s="9" t="s">
        <v>69</v>
      </c>
      <c r="C17" s="9" t="s">
        <v>106</v>
      </c>
      <c r="D17" s="9" t="s">
        <v>287</v>
      </c>
      <c r="E17" s="10">
        <v>1600</v>
      </c>
      <c r="F17" s="10">
        <v>1600</v>
      </c>
      <c r="G17" s="10">
        <f t="shared" si="0"/>
        <v>0</v>
      </c>
      <c r="H17" s="9" t="s">
        <v>50</v>
      </c>
      <c r="I17" s="9" t="s">
        <v>275</v>
      </c>
      <c r="J17" s="9" t="s">
        <v>113</v>
      </c>
    </row>
    <row r="18" spans="1:10">
      <c r="A18" s="11" t="s">
        <v>107</v>
      </c>
      <c r="B18" s="11" t="s">
        <v>74</v>
      </c>
      <c r="C18" s="11" t="s">
        <v>108</v>
      </c>
      <c r="D18" s="11" t="s">
        <v>288</v>
      </c>
      <c r="E18" s="12">
        <v>3000</v>
      </c>
      <c r="F18" s="12">
        <v>3000</v>
      </c>
      <c r="G18" s="12">
        <f t="shared" si="0"/>
        <v>0</v>
      </c>
      <c r="H18" s="11" t="s">
        <v>50</v>
      </c>
      <c r="I18" s="11" t="s">
        <v>273</v>
      </c>
      <c r="J18" s="11" t="s">
        <v>113</v>
      </c>
    </row>
    <row r="19" spans="1:10">
      <c r="A19" s="9" t="s">
        <v>109</v>
      </c>
      <c r="B19" s="9" t="s">
        <v>79</v>
      </c>
      <c r="C19" s="9" t="s">
        <v>110</v>
      </c>
      <c r="D19" s="9" t="s">
        <v>289</v>
      </c>
      <c r="E19" s="10">
        <v>2750</v>
      </c>
      <c r="F19" s="10">
        <v>2750</v>
      </c>
      <c r="G19" s="10">
        <f t="shared" si="0"/>
        <v>0</v>
      </c>
      <c r="H19" s="9" t="s">
        <v>50</v>
      </c>
      <c r="I19" s="9" t="s">
        <v>275</v>
      </c>
      <c r="J19" s="9" t="s">
        <v>113</v>
      </c>
    </row>
    <row r="20" spans="1:10">
      <c r="A20" s="11" t="s">
        <v>111</v>
      </c>
      <c r="B20" s="11" t="s">
        <v>84</v>
      </c>
      <c r="C20" s="11" t="s">
        <v>112</v>
      </c>
      <c r="D20" s="11" t="s">
        <v>290</v>
      </c>
      <c r="E20" s="12">
        <v>1100</v>
      </c>
      <c r="F20" s="12">
        <v>0</v>
      </c>
      <c r="G20" s="12">
        <f t="shared" si="0"/>
        <v>1100</v>
      </c>
      <c r="H20" s="11" t="s">
        <v>22</v>
      </c>
      <c r="I20" s="11" t="s">
        <v>113</v>
      </c>
      <c r="J20" s="11" t="s">
        <v>291</v>
      </c>
    </row>
    <row r="21" spans="1:10">
      <c r="A21" s="9" t="s">
        <v>114</v>
      </c>
      <c r="B21" s="9" t="s">
        <v>89</v>
      </c>
      <c r="C21" s="9" t="s">
        <v>115</v>
      </c>
      <c r="D21" s="9" t="s">
        <v>292</v>
      </c>
      <c r="E21" s="10">
        <v>3300</v>
      </c>
      <c r="F21" s="10">
        <v>0</v>
      </c>
      <c r="G21" s="10">
        <f t="shared" si="0"/>
        <v>3300</v>
      </c>
      <c r="H21" s="9" t="s">
        <v>118</v>
      </c>
      <c r="I21" s="9" t="s">
        <v>113</v>
      </c>
      <c r="J21" s="9" t="s">
        <v>293</v>
      </c>
    </row>
    <row r="22" spans="1:10">
      <c r="A22" s="11" t="s">
        <v>116</v>
      </c>
      <c r="B22" s="11" t="s">
        <v>93</v>
      </c>
      <c r="C22" s="11" t="s">
        <v>117</v>
      </c>
      <c r="D22" s="11" t="s">
        <v>294</v>
      </c>
      <c r="E22" s="12">
        <v>1950</v>
      </c>
      <c r="F22" s="12">
        <v>0</v>
      </c>
      <c r="G22" s="12">
        <f t="shared" si="0"/>
        <v>1950</v>
      </c>
      <c r="H22" s="11" t="s">
        <v>22</v>
      </c>
      <c r="I22" s="11" t="s">
        <v>113</v>
      </c>
      <c r="J22" s="11" t="s">
        <v>291</v>
      </c>
    </row>
    <row r="23" spans="1:10">
      <c r="A23" s="17" t="s">
        <v>35</v>
      </c>
      <c r="E23" s="18">
        <f>SUM(E3:E22)</f>
        <v>44475</v>
      </c>
      <c r="F23" s="18">
        <f>SUM(F3:F22)</f>
        <v>38125</v>
      </c>
      <c r="G23" s="18">
        <f>SUM(G3:G22)</f>
        <v>6350</v>
      </c>
    </row>
  </sheetData>
  <mergeCells count="1">
    <mergeCell ref="A1:J1"/>
  </mergeCells>
  <conditionalFormatting sqref="G3:G22">
    <cfRule type="dataBar" priority="4">
      <dataBar>
        <cfvo type="min"/>
        <cfvo type="max"/>
        <color rgb="FFFF4B4B"/>
      </dataBar>
      <extLst>
        <ext xmlns:x14="http://schemas.microsoft.com/office/spreadsheetml/2009/9/main" uri="{B025F937-C7B1-47D3-B67F-A62EFF666E3E}">
          <x14:id>{3ed84b0e-ce13-440d-bfbf-dde738d8b438}</x14:id>
        </ext>
      </extLst>
    </cfRule>
  </conditionalFormatting>
  <conditionalFormatting sqref="H3:H200">
    <cfRule type="cellIs" dxfId="0" priority="1" operator="equal">
      <formula>"Overdue"</formula>
    </cfRule>
    <cfRule type="cellIs" dxfId="1" priority="2" operator="equal">
      <formula>"Outstanding"</formula>
    </cfRule>
    <cfRule type="cellIs" dxfId="2" priority="3" operator="equal">
      <formula>"Paid"</formula>
    </cfRule>
  </conditionalFormatting>
  <dataValidations count="2">
    <dataValidation type="list" allowBlank="1" sqref="H3:H200">
      <formula1>"Paid,Outstanding,Overdue,Partial,Cancelled"</formula1>
    </dataValidation>
    <dataValidation type="list" allowBlank="1" sqref="I3:I200">
      <formula1>"Bank Transfer,Credit Card,PayPal,Check,Cash,Wire Transfer,Other"</formula1>
    </dataValidation>
  </dataValidations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3ed84b0e-ce13-440d-bfbf-dde738d8b438}">
            <x14:dataBar minLength="10" maxLength="90" negativeBarColorSameAsPositive="1" axisPosition="none">
              <x14:cfvo type="min"/>
              <x14:cfvo type="max"/>
              <x14:axisColor indexed="65"/>
            </x14:dataBar>
          </x14:cfRule>
          <xm:sqref>G3:G22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H17"/>
  <sheetViews>
    <sheetView tabSelected="1" workbookViewId="0">
      <pane ySplit="2" topLeftCell="A3" activePane="bottomLeft" state="frozen"/>
      <selection/>
      <selection pane="bottomLeft" activeCell="J15" sqref="J15"/>
    </sheetView>
  </sheetViews>
  <sheetFormatPr defaultColWidth="9" defaultRowHeight="14.4" outlineLevelCol="7"/>
  <cols>
    <col min="1" max="1" width="10" customWidth="1"/>
    <col min="2" max="2" width="22" customWidth="1"/>
    <col min="3" max="3" width="14" customWidth="1"/>
    <col min="4" max="4" width="42" customWidth="1"/>
    <col min="5" max="5" width="10" customWidth="1"/>
    <col min="6" max="6" width="12" customWidth="1"/>
    <col min="7" max="7" width="10" customWidth="1"/>
    <col min="8" max="8" width="12" customWidth="1"/>
  </cols>
  <sheetData>
    <row r="1" ht="21" spans="1:8">
      <c r="A1" s="1" t="s">
        <v>295</v>
      </c>
    </row>
    <row r="2" spans="1:8">
      <c r="A2" s="15" t="s">
        <v>296</v>
      </c>
      <c r="B2" s="15" t="s">
        <v>297</v>
      </c>
      <c r="C2" s="15" t="s">
        <v>298</v>
      </c>
      <c r="D2" s="15" t="s">
        <v>248</v>
      </c>
      <c r="E2" s="15" t="s">
        <v>299</v>
      </c>
      <c r="F2" s="15" t="s">
        <v>41</v>
      </c>
      <c r="G2" s="15" t="s">
        <v>300</v>
      </c>
      <c r="H2" s="15" t="s">
        <v>43</v>
      </c>
    </row>
    <row r="3" spans="1:8">
      <c r="A3" s="9" t="s">
        <v>301</v>
      </c>
      <c r="B3" s="9" t="s">
        <v>49</v>
      </c>
      <c r="C3" s="9" t="s">
        <v>302</v>
      </c>
      <c r="D3" s="9" t="s">
        <v>303</v>
      </c>
      <c r="E3" s="9" t="s">
        <v>304</v>
      </c>
      <c r="F3" s="10">
        <v>2500</v>
      </c>
      <c r="G3" s="13">
        <v>0.1</v>
      </c>
      <c r="H3" s="9" t="s">
        <v>305</v>
      </c>
    </row>
    <row r="4" spans="1:8">
      <c r="A4" s="11" t="s">
        <v>306</v>
      </c>
      <c r="B4" s="11" t="s">
        <v>55</v>
      </c>
      <c r="C4" s="11" t="s">
        <v>170</v>
      </c>
      <c r="D4" s="11" t="s">
        <v>307</v>
      </c>
      <c r="E4" s="11" t="s">
        <v>304</v>
      </c>
      <c r="F4" s="12">
        <v>1200</v>
      </c>
      <c r="G4" s="14">
        <v>0.1</v>
      </c>
      <c r="H4" s="11" t="s">
        <v>305</v>
      </c>
    </row>
    <row r="5" spans="1:8">
      <c r="A5" s="9" t="s">
        <v>308</v>
      </c>
      <c r="B5" s="9" t="s">
        <v>60</v>
      </c>
      <c r="C5" s="9" t="s">
        <v>188</v>
      </c>
      <c r="D5" s="9" t="s">
        <v>309</v>
      </c>
      <c r="E5" s="9" t="s">
        <v>19</v>
      </c>
      <c r="F5" s="10">
        <v>500</v>
      </c>
      <c r="G5" s="13">
        <v>0.1</v>
      </c>
      <c r="H5" s="9" t="s">
        <v>305</v>
      </c>
    </row>
    <row r="6" spans="1:8">
      <c r="A6" s="11" t="s">
        <v>310</v>
      </c>
      <c r="B6" s="11" t="s">
        <v>65</v>
      </c>
      <c r="C6" s="11" t="s">
        <v>90</v>
      </c>
      <c r="D6" s="11" t="s">
        <v>311</v>
      </c>
      <c r="E6" s="11" t="s">
        <v>304</v>
      </c>
      <c r="F6" s="12">
        <v>3500</v>
      </c>
      <c r="G6" s="14">
        <v>0.1</v>
      </c>
      <c r="H6" s="11" t="s">
        <v>305</v>
      </c>
    </row>
    <row r="7" spans="1:8">
      <c r="A7" s="9" t="s">
        <v>312</v>
      </c>
      <c r="B7" s="9" t="s">
        <v>70</v>
      </c>
      <c r="C7" s="9" t="s">
        <v>170</v>
      </c>
      <c r="D7" s="9" t="s">
        <v>313</v>
      </c>
      <c r="E7" s="9" t="s">
        <v>304</v>
      </c>
      <c r="F7" s="10">
        <v>2800</v>
      </c>
      <c r="G7" s="13">
        <v>0.1</v>
      </c>
      <c r="H7" s="9" t="s">
        <v>305</v>
      </c>
    </row>
    <row r="8" spans="1:8">
      <c r="A8" s="11" t="s">
        <v>314</v>
      </c>
      <c r="B8" s="11" t="s">
        <v>75</v>
      </c>
      <c r="C8" s="11" t="s">
        <v>188</v>
      </c>
      <c r="D8" s="11" t="s">
        <v>315</v>
      </c>
      <c r="E8" s="11" t="s">
        <v>316</v>
      </c>
      <c r="F8" s="12">
        <v>75</v>
      </c>
      <c r="G8" s="14">
        <v>0.1</v>
      </c>
      <c r="H8" s="11" t="s">
        <v>305</v>
      </c>
    </row>
    <row r="9" spans="1:8">
      <c r="A9" s="9" t="s">
        <v>317</v>
      </c>
      <c r="B9" s="9" t="s">
        <v>318</v>
      </c>
      <c r="C9" s="9" t="s">
        <v>188</v>
      </c>
      <c r="D9" s="9" t="s">
        <v>319</v>
      </c>
      <c r="E9" s="9" t="s">
        <v>19</v>
      </c>
      <c r="F9" s="10">
        <v>800</v>
      </c>
      <c r="G9" s="13">
        <v>0.1</v>
      </c>
      <c r="H9" s="9" t="s">
        <v>305</v>
      </c>
    </row>
    <row r="10" spans="1:8">
      <c r="A10" s="11" t="s">
        <v>320</v>
      </c>
      <c r="B10" s="11" t="s">
        <v>321</v>
      </c>
      <c r="C10" s="11" t="s">
        <v>302</v>
      </c>
      <c r="D10" s="11" t="s">
        <v>322</v>
      </c>
      <c r="E10" s="11" t="s">
        <v>304</v>
      </c>
      <c r="F10" s="12">
        <v>8000</v>
      </c>
      <c r="G10" s="14">
        <v>0.1</v>
      </c>
      <c r="H10" s="11" t="s">
        <v>305</v>
      </c>
    </row>
    <row r="11" spans="1:8">
      <c r="A11" s="9" t="s">
        <v>323</v>
      </c>
      <c r="B11" s="9" t="s">
        <v>90</v>
      </c>
      <c r="C11" s="9" t="s">
        <v>90</v>
      </c>
      <c r="D11" s="9" t="s">
        <v>324</v>
      </c>
      <c r="E11" s="9" t="s">
        <v>325</v>
      </c>
      <c r="F11" s="10">
        <v>150</v>
      </c>
      <c r="G11" s="13">
        <v>0.1</v>
      </c>
      <c r="H11" s="9" t="s">
        <v>305</v>
      </c>
    </row>
    <row r="12" spans="1:8">
      <c r="A12" s="11" t="s">
        <v>326</v>
      </c>
      <c r="B12" s="11" t="s">
        <v>94</v>
      </c>
      <c r="C12" s="11" t="s">
        <v>327</v>
      </c>
      <c r="D12" s="11" t="s">
        <v>328</v>
      </c>
      <c r="E12" s="11" t="s">
        <v>329</v>
      </c>
      <c r="F12" s="12">
        <v>600</v>
      </c>
      <c r="G12" s="14">
        <v>0.1</v>
      </c>
      <c r="H12" s="11" t="s">
        <v>305</v>
      </c>
    </row>
    <row r="13" spans="1:8">
      <c r="A13" s="9" t="s">
        <v>330</v>
      </c>
      <c r="B13" s="9" t="s">
        <v>331</v>
      </c>
      <c r="C13" s="9" t="s">
        <v>327</v>
      </c>
      <c r="D13" s="9" t="s">
        <v>332</v>
      </c>
      <c r="E13" s="9" t="s">
        <v>304</v>
      </c>
      <c r="F13" s="10">
        <v>3000</v>
      </c>
      <c r="G13" s="13">
        <v>0.1</v>
      </c>
      <c r="H13" s="9" t="s">
        <v>305</v>
      </c>
    </row>
    <row r="14" spans="1:8">
      <c r="A14" s="11" t="s">
        <v>333</v>
      </c>
      <c r="B14" s="11" t="s">
        <v>334</v>
      </c>
      <c r="C14" s="11" t="s">
        <v>188</v>
      </c>
      <c r="D14" s="11" t="s">
        <v>335</v>
      </c>
      <c r="E14" s="11" t="s">
        <v>19</v>
      </c>
      <c r="F14" s="12">
        <v>400</v>
      </c>
      <c r="G14" s="14">
        <v>0.1</v>
      </c>
      <c r="H14" s="11" t="s">
        <v>305</v>
      </c>
    </row>
    <row r="15" spans="1:8">
      <c r="A15" s="9" t="s">
        <v>336</v>
      </c>
      <c r="B15" s="9" t="s">
        <v>337</v>
      </c>
      <c r="C15" s="9" t="s">
        <v>302</v>
      </c>
      <c r="D15" s="9" t="s">
        <v>338</v>
      </c>
      <c r="E15" s="9" t="s">
        <v>19</v>
      </c>
      <c r="F15" s="10">
        <v>100</v>
      </c>
      <c r="G15" s="13">
        <v>0.1</v>
      </c>
      <c r="H15" s="9" t="s">
        <v>305</v>
      </c>
    </row>
    <row r="16" spans="1:8">
      <c r="A16" s="11" t="s">
        <v>339</v>
      </c>
      <c r="B16" s="11" t="s">
        <v>340</v>
      </c>
      <c r="C16" s="11" t="s">
        <v>90</v>
      </c>
      <c r="D16" s="11" t="s">
        <v>341</v>
      </c>
      <c r="E16" s="11" t="s">
        <v>304</v>
      </c>
      <c r="F16" s="12">
        <v>2000</v>
      </c>
      <c r="G16" s="14">
        <v>0.1</v>
      </c>
      <c r="H16" s="11" t="s">
        <v>305</v>
      </c>
    </row>
    <row r="17" spans="1:8">
      <c r="A17" s="9" t="s">
        <v>342</v>
      </c>
      <c r="B17" s="9" t="s">
        <v>343</v>
      </c>
      <c r="C17" s="9" t="s">
        <v>90</v>
      </c>
      <c r="D17" s="9" t="s">
        <v>344</v>
      </c>
      <c r="E17" s="9" t="s">
        <v>345</v>
      </c>
      <c r="F17" s="10">
        <v>1500</v>
      </c>
      <c r="G17" s="13">
        <v>0.1</v>
      </c>
      <c r="H17" s="9" t="s">
        <v>305</v>
      </c>
    </row>
  </sheetData>
  <mergeCells count="1">
    <mergeCell ref="A1:H1"/>
  </mergeCells>
  <conditionalFormatting sqref="H3:H200">
    <cfRule type="cellIs" dxfId="2" priority="1" operator="equal">
      <formula>"Active"</formula>
    </cfRule>
    <cfRule type="cellIs" dxfId="1" priority="2" operator="equal">
      <formula>"Inactive"</formula>
    </cfRule>
  </conditionalFormatting>
  <dataValidations count="3">
    <dataValidation type="list" allowBlank="1" sqref="C3:C200">
      <formula1>"Development,Design,Marketing,Consulting,Creative,Other"</formula1>
    </dataValidation>
    <dataValidation type="list" allowBlank="1" sqref="E3:E200">
      <formula1>"Project,Month,Hour,Article,Session,Day,Year"</formula1>
    </dataValidation>
    <dataValidation type="list" allowBlank="1" sqref="H3:H200">
      <formula1>"Active,Inactive,Discontinued"</formula1>
    </dataValidation>
  </dataValidations>
  <pageMargins left="0.75" right="0.75" top="1" bottom="1" header="0.5" footer="0.5"/>
  <headerFooter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4B4B"/>
  </sheetPr>
  <dimension ref="A1:G26"/>
  <sheetViews>
    <sheetView workbookViewId="0">
      <pane ySplit="4" topLeftCell="A5" activePane="bottomLeft" state="frozen"/>
      <selection/>
      <selection pane="bottomLeft" activeCell="B20" sqref="B20"/>
    </sheetView>
  </sheetViews>
  <sheetFormatPr defaultColWidth="9" defaultRowHeight="14.4" outlineLevelCol="6"/>
  <cols>
    <col min="1" max="1" width="22" customWidth="1"/>
    <col min="2" max="4" width="16" customWidth="1"/>
    <col min="5" max="6" width="14" customWidth="1"/>
  </cols>
  <sheetData>
    <row r="1" ht="21" spans="1:6">
      <c r="A1" s="1" t="s">
        <v>346</v>
      </c>
    </row>
    <row r="3" ht="15.6" spans="1:6">
      <c r="A3" s="4" t="s">
        <v>347</v>
      </c>
    </row>
    <row r="4" spans="1:6">
      <c r="A4" s="8" t="s">
        <v>38</v>
      </c>
      <c r="B4" s="8" t="s">
        <v>3</v>
      </c>
      <c r="C4" s="8" t="s">
        <v>348</v>
      </c>
      <c r="D4" s="8" t="s">
        <v>22</v>
      </c>
      <c r="E4" s="8" t="s">
        <v>349</v>
      </c>
      <c r="F4" s="8" t="s">
        <v>12</v>
      </c>
    </row>
    <row r="5" spans="1:6">
      <c r="A5" s="9" t="s">
        <v>48</v>
      </c>
      <c r="B5" s="10">
        <f>SUMIF('Invoice Log'!C:C,A5,'Invoice Log'!G:G)</f>
        <v>7500</v>
      </c>
      <c r="C5" s="10">
        <f>SUMIFS('Invoice Log'!G:G,'Invoice Log'!C:C,A5,'Invoice Log'!H:H,"Paid")</f>
        <v>7500</v>
      </c>
      <c r="D5" s="10">
        <f t="shared" ref="D5:D14" si="0">B5-C5</f>
        <v>0</v>
      </c>
      <c r="E5" s="10">
        <f t="shared" ref="E5:E14" si="1">IF(F5&gt;0,B5/F5,0)</f>
        <v>2500</v>
      </c>
      <c r="F5" s="9">
        <f>COUNTIF('Invoice Log'!C:C,A5)</f>
        <v>3</v>
      </c>
    </row>
    <row r="6" spans="1:6">
      <c r="A6" s="11" t="s">
        <v>54</v>
      </c>
      <c r="B6" s="12">
        <f>SUMIF('Invoice Log'!C:C,A6,'Invoice Log'!G:G)</f>
        <v>3600</v>
      </c>
      <c r="C6" s="12">
        <f>SUMIFS('Invoice Log'!G:G,'Invoice Log'!C:C,A6,'Invoice Log'!H:H,"Paid")</f>
        <v>3600</v>
      </c>
      <c r="D6" s="12">
        <f t="shared" si="0"/>
        <v>0</v>
      </c>
      <c r="E6" s="12">
        <f t="shared" si="1"/>
        <v>1200</v>
      </c>
      <c r="F6" s="11">
        <f>COUNTIF('Invoice Log'!C:C,A6)</f>
        <v>3</v>
      </c>
    </row>
    <row r="7" spans="1:6">
      <c r="A7" s="9" t="s">
        <v>59</v>
      </c>
      <c r="B7" s="10">
        <f>SUMIF('Invoice Log'!C:C,A7,'Invoice Log'!G:G)</f>
        <v>4500</v>
      </c>
      <c r="C7" s="10">
        <f>SUMIFS('Invoice Log'!G:G,'Invoice Log'!C:C,A7,'Invoice Log'!H:H,"Paid")</f>
        <v>3000</v>
      </c>
      <c r="D7" s="10">
        <f t="shared" si="0"/>
        <v>1500</v>
      </c>
      <c r="E7" s="10">
        <f t="shared" si="1"/>
        <v>1500</v>
      </c>
      <c r="F7" s="9">
        <f>COUNTIF('Invoice Log'!C:C,A7)</f>
        <v>3</v>
      </c>
    </row>
    <row r="8" spans="1:6">
      <c r="A8" s="11" t="s">
        <v>64</v>
      </c>
      <c r="B8" s="12">
        <f>SUMIF('Invoice Log'!C:C,A8,'Invoice Log'!G:G)</f>
        <v>10500</v>
      </c>
      <c r="C8" s="12">
        <f>SUMIFS('Invoice Log'!G:G,'Invoice Log'!C:C,A8,'Invoice Log'!H:H,"Paid")</f>
        <v>10500</v>
      </c>
      <c r="D8" s="12">
        <f t="shared" si="0"/>
        <v>0</v>
      </c>
      <c r="E8" s="12">
        <f t="shared" si="1"/>
        <v>3500</v>
      </c>
      <c r="F8" s="11">
        <f>COUNTIF('Invoice Log'!C:C,A8)</f>
        <v>3</v>
      </c>
    </row>
    <row r="9" spans="1:6">
      <c r="A9" s="9" t="s">
        <v>69</v>
      </c>
      <c r="B9" s="10">
        <f>SUMIF('Invoice Log'!C:C,A9,'Invoice Log'!G:G)</f>
        <v>8400</v>
      </c>
      <c r="C9" s="10">
        <f>SUMIFS('Invoice Log'!G:G,'Invoice Log'!C:C,A9,'Invoice Log'!H:H,"Paid")</f>
        <v>8400</v>
      </c>
      <c r="D9" s="10">
        <f t="shared" si="0"/>
        <v>0</v>
      </c>
      <c r="E9" s="10">
        <f t="shared" si="1"/>
        <v>2800</v>
      </c>
      <c r="F9" s="9">
        <f>COUNTIF('Invoice Log'!C:C,A9)</f>
        <v>3</v>
      </c>
    </row>
    <row r="10" spans="1:6">
      <c r="A10" s="11" t="s">
        <v>74</v>
      </c>
      <c r="B10" s="12">
        <f>SUMIF('Invoice Log'!C:C,A10,'Invoice Log'!G:G)</f>
        <v>750</v>
      </c>
      <c r="C10" s="12">
        <f>SUMIFS('Invoice Log'!G:G,'Invoice Log'!C:C,A10,'Invoice Log'!H:H,"Paid")</f>
        <v>750</v>
      </c>
      <c r="D10" s="12">
        <f t="shared" si="0"/>
        <v>0</v>
      </c>
      <c r="E10" s="12">
        <f t="shared" si="1"/>
        <v>375</v>
      </c>
      <c r="F10" s="11">
        <f>COUNTIF('Invoice Log'!C:C,A10)</f>
        <v>2</v>
      </c>
    </row>
    <row r="11" spans="1:6">
      <c r="A11" s="9" t="s">
        <v>79</v>
      </c>
      <c r="B11" s="10">
        <f>SUMIF('Invoice Log'!C:C,A11,'Invoice Log'!G:G)</f>
        <v>3000</v>
      </c>
      <c r="C11" s="10">
        <f>SUMIFS('Invoice Log'!G:G,'Invoice Log'!C:C,A11,'Invoice Log'!H:H,"Paid")</f>
        <v>3000</v>
      </c>
      <c r="D11" s="10">
        <f t="shared" si="0"/>
        <v>0</v>
      </c>
      <c r="E11" s="10">
        <f t="shared" si="1"/>
        <v>1500</v>
      </c>
      <c r="F11" s="9">
        <f>COUNTIF('Invoice Log'!C:C,A11)</f>
        <v>2</v>
      </c>
    </row>
    <row r="12" spans="1:6">
      <c r="A12" s="11" t="s">
        <v>84</v>
      </c>
      <c r="B12" s="12">
        <f>SUMIF('Invoice Log'!C:C,A12,'Invoice Log'!G:G)</f>
        <v>10000</v>
      </c>
      <c r="C12" s="12">
        <f>SUMIFS('Invoice Log'!G:G,'Invoice Log'!C:C,A12,'Invoice Log'!H:H,"Paid")</f>
        <v>5000</v>
      </c>
      <c r="D12" s="12">
        <f t="shared" si="0"/>
        <v>5000</v>
      </c>
      <c r="E12" s="12">
        <f t="shared" si="1"/>
        <v>5000</v>
      </c>
      <c r="F12" s="11">
        <f>COUNTIF('Invoice Log'!C:C,A12)</f>
        <v>2</v>
      </c>
    </row>
    <row r="13" spans="1:6">
      <c r="A13" s="9" t="s">
        <v>89</v>
      </c>
      <c r="B13" s="10">
        <f>SUMIF('Invoice Log'!C:C,A13,'Invoice Log'!G:G)</f>
        <v>5000</v>
      </c>
      <c r="C13" s="10">
        <f>SUMIFS('Invoice Log'!G:G,'Invoice Log'!C:C,A13,'Invoice Log'!H:H,"Paid")</f>
        <v>2500</v>
      </c>
      <c r="D13" s="10">
        <f t="shared" si="0"/>
        <v>2500</v>
      </c>
      <c r="E13" s="10">
        <f t="shared" si="1"/>
        <v>2500</v>
      </c>
      <c r="F13" s="9">
        <f>COUNTIF('Invoice Log'!C:C,A13)</f>
        <v>2</v>
      </c>
    </row>
    <row r="14" spans="1:6">
      <c r="A14" s="11" t="s">
        <v>93</v>
      </c>
      <c r="B14" s="12">
        <f>SUMIF('Invoice Log'!C:C,A14,'Invoice Log'!G:G)</f>
        <v>1600</v>
      </c>
      <c r="C14" s="12">
        <f>SUMIFS('Invoice Log'!G:G,'Invoice Log'!C:C,A14,'Invoice Log'!H:H,"Paid")</f>
        <v>800</v>
      </c>
      <c r="D14" s="12">
        <f t="shared" si="0"/>
        <v>800</v>
      </c>
      <c r="E14" s="12">
        <f t="shared" si="1"/>
        <v>800</v>
      </c>
      <c r="F14" s="11">
        <f>COUNTIF('Invoice Log'!C:C,A14)</f>
        <v>2</v>
      </c>
    </row>
    <row r="17" ht="15.6" spans="1:4">
      <c r="A17" s="4" t="s">
        <v>350</v>
      </c>
    </row>
    <row r="18" spans="1:4">
      <c r="A18" s="8" t="s">
        <v>351</v>
      </c>
      <c r="B18" s="8" t="s">
        <v>2</v>
      </c>
      <c r="C18" s="8" t="s">
        <v>352</v>
      </c>
      <c r="D18" s="8" t="s">
        <v>12</v>
      </c>
    </row>
    <row r="19" spans="1:4">
      <c r="A19" s="9" t="s">
        <v>49</v>
      </c>
      <c r="B19" s="10">
        <f>SUMIF('Invoice Log'!D:D,A19,'Invoice Log'!G:G)</f>
        <v>7500</v>
      </c>
      <c r="C19" s="13">
        <f>IF(SUM(B19:B26)&gt;0,B19/SUM(B19:B26),0)</f>
        <v>0.155440414507772</v>
      </c>
      <c r="D19" s="9">
        <f>COUNTIF('Invoice Log'!D:D,A19)</f>
        <v>3</v>
      </c>
    </row>
    <row r="20" spans="1:4">
      <c r="A20" s="11" t="s">
        <v>55</v>
      </c>
      <c r="B20" s="12">
        <f>SUMIF('Invoice Log'!D:D,A20,'Invoice Log'!G:G)</f>
        <v>3600</v>
      </c>
      <c r="C20" s="14">
        <f>IF(SUM(B19:B26)&gt;0,B20/SUM(B19:B26),0)</f>
        <v>0.0746113989637306</v>
      </c>
      <c r="D20" s="11">
        <f>COUNTIF('Invoice Log'!D:D,A20)</f>
        <v>3</v>
      </c>
    </row>
    <row r="21" spans="1:4">
      <c r="A21" s="9" t="s">
        <v>60</v>
      </c>
      <c r="B21" s="10">
        <f>SUMIF('Invoice Log'!D:D,A21,'Invoice Log'!G:G)</f>
        <v>4500</v>
      </c>
      <c r="C21" s="13">
        <f>IF(SUM(B19:B26)&gt;0,B21/SUM(B19:B26),0)</f>
        <v>0.0932642487046632</v>
      </c>
      <c r="D21" s="9">
        <f>COUNTIF('Invoice Log'!D:D,A21)</f>
        <v>3</v>
      </c>
    </row>
    <row r="22" spans="1:4">
      <c r="A22" s="11" t="s">
        <v>65</v>
      </c>
      <c r="B22" s="12">
        <f>SUMIF('Invoice Log'!D:D,A22,'Invoice Log'!G:G)</f>
        <v>10500</v>
      </c>
      <c r="C22" s="14">
        <f>IF(SUM(B19:B26)&gt;0,B22/SUM(B19:B26),0)</f>
        <v>0.217616580310881</v>
      </c>
      <c r="D22" s="11">
        <f>COUNTIF('Invoice Log'!D:D,A22)</f>
        <v>3</v>
      </c>
    </row>
    <row r="23" spans="1:4">
      <c r="A23" s="9" t="s">
        <v>70</v>
      </c>
      <c r="B23" s="10">
        <f>SUMIF('Invoice Log'!D:D,A23,'Invoice Log'!G:G)</f>
        <v>8400</v>
      </c>
      <c r="C23" s="13">
        <f>IF(SUM(B19:B26)&gt;0,B23/SUM(B19:B26),0)</f>
        <v>0.174093264248705</v>
      </c>
      <c r="D23" s="9">
        <f>COUNTIF('Invoice Log'!D:D,A23)</f>
        <v>3</v>
      </c>
    </row>
    <row r="24" spans="1:4">
      <c r="A24" s="11" t="s">
        <v>75</v>
      </c>
      <c r="B24" s="12">
        <f>SUMIF('Invoice Log'!D:D,A24,'Invoice Log'!G:G)</f>
        <v>750</v>
      </c>
      <c r="C24" s="14">
        <f>IF(SUM(B19:B26)&gt;0,B24/SUM(B19:B26),0)</f>
        <v>0.0155440414507772</v>
      </c>
      <c r="D24" s="11">
        <f>COUNTIF('Invoice Log'!D:D,A24)</f>
        <v>2</v>
      </c>
    </row>
    <row r="25" spans="1:4">
      <c r="A25" s="9" t="s">
        <v>80</v>
      </c>
      <c r="B25" s="10">
        <f>SUMIF('Invoice Log'!D:D,A25,'Invoice Log'!G:G)</f>
        <v>3000</v>
      </c>
      <c r="C25" s="13">
        <f>IF(SUM(B19:B26)&gt;0,B25/SUM(B19:B26),0)</f>
        <v>0.0621761658031088</v>
      </c>
      <c r="D25" s="9">
        <f>COUNTIF('Invoice Log'!D:D,A25)</f>
        <v>2</v>
      </c>
    </row>
    <row r="26" spans="1:4">
      <c r="A26" s="11" t="s">
        <v>85</v>
      </c>
      <c r="B26" s="12">
        <f>SUMIF('Invoice Log'!D:D,A26,'Invoice Log'!G:G)</f>
        <v>10000</v>
      </c>
      <c r="C26" s="14">
        <f>IF(SUM(B19:B26)&gt;0,B26/SUM(B19:B26),0)</f>
        <v>0.207253886010363</v>
      </c>
      <c r="D26" s="11">
        <f>COUNTIF('Invoice Log'!D:D,A26)</f>
        <v>2</v>
      </c>
    </row>
  </sheetData>
  <mergeCells count="1">
    <mergeCell ref="A1:G1"/>
  </mergeCells>
  <conditionalFormatting sqref="C19:C26">
    <cfRule type="dataBar" priority="1">
      <dataBar>
        <cfvo type="num" val="0"/>
        <cfvo type="num" val="1"/>
        <color rgb="FF2E75B6"/>
      </dataBar>
      <extLst>
        <ext xmlns:x14="http://schemas.microsoft.com/office/spreadsheetml/2009/9/main" uri="{B025F937-C7B1-47D3-B67F-A62EFF666E3E}">
          <x14:id>{49f48961-e80b-4b9f-9f2d-3db801fcad80}</x14:id>
        </ext>
      </extLst>
    </cfRule>
  </conditionalFormatting>
  <pageMargins left="0.75" right="0.75" top="1" bottom="1" header="0.5" footer="0.5"/>
  <headerFooter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49f48961-e80b-4b9f-9f2d-3db801fcad80}">
            <x14:dataBar minLength="10" maxLength="90" negativeBarColorSameAsPositive="1" axisPosition="none">
              <x14:cfvo type="num">
                <xm:f>0</xm:f>
              </x14:cfvo>
              <x14:cfvo type="num">
                <xm:f>1</xm:f>
              </x14:cfvo>
              <x14:axisColor indexed="65"/>
            </x14:dataBar>
          </x14:cfRule>
          <xm:sqref>C19:C26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70AD47"/>
  </sheetPr>
  <dimension ref="A1:D35"/>
  <sheetViews>
    <sheetView workbookViewId="0">
      <selection activeCell="B20" sqref="B20"/>
    </sheetView>
  </sheetViews>
  <sheetFormatPr defaultColWidth="9" defaultRowHeight="14.4" outlineLevelCol="3"/>
  <cols>
    <col min="1" max="1" width="80" customWidth="1"/>
    <col min="2" max="2" width="20" customWidth="1"/>
  </cols>
  <sheetData>
    <row r="1" ht="23.4" spans="1:1">
      <c r="A1" s="2" t="s">
        <v>353</v>
      </c>
    </row>
    <row r="2" spans="1:1">
      <c r="A2" s="3" t="s">
        <v>354</v>
      </c>
    </row>
    <row r="4" ht="15.6" spans="1:1">
      <c r="A4" s="4" t="s">
        <v>355</v>
      </c>
    </row>
    <row r="5" ht="28.8" spans="1:1">
      <c r="A5" s="5" t="s">
        <v>356</v>
      </c>
    </row>
    <row r="7" ht="15.6" spans="1:1">
      <c r="A7" s="4" t="s">
        <v>357</v>
      </c>
    </row>
    <row r="8" ht="28.8" spans="1:1">
      <c r="A8" s="5" t="s">
        <v>358</v>
      </c>
    </row>
    <row r="10" ht="15.6" spans="1:1">
      <c r="A10" s="4" t="s">
        <v>359</v>
      </c>
    </row>
    <row r="11" ht="28.8" spans="1:1">
      <c r="A11" s="5" t="s">
        <v>360</v>
      </c>
    </row>
    <row r="13" ht="15.6" spans="1:1">
      <c r="A13" s="4" t="s">
        <v>361</v>
      </c>
    </row>
    <row r="14" ht="28.8" spans="1:1">
      <c r="A14" s="5" t="s">
        <v>362</v>
      </c>
    </row>
    <row r="16" ht="15.6" spans="1:1">
      <c r="A16" s="4" t="s">
        <v>363</v>
      </c>
    </row>
    <row r="17" ht="28.8" spans="1:1">
      <c r="A17" s="5" t="s">
        <v>364</v>
      </c>
    </row>
    <row r="19" ht="15.6" spans="1:1">
      <c r="A19" s="4" t="s">
        <v>365</v>
      </c>
    </row>
    <row r="20" ht="28.8" spans="1:1">
      <c r="A20" s="5" t="s">
        <v>366</v>
      </c>
    </row>
    <row r="22" ht="15.6" spans="1:1">
      <c r="A22" s="4" t="s">
        <v>367</v>
      </c>
    </row>
    <row r="23" spans="1:1">
      <c r="A23" s="5" t="s">
        <v>368</v>
      </c>
    </row>
    <row r="25" ht="15.6" spans="1:1">
      <c r="A25" s="4" t="s">
        <v>369</v>
      </c>
    </row>
    <row r="26" spans="1:1">
      <c r="A26" s="5" t="s">
        <v>370</v>
      </c>
    </row>
    <row r="29" ht="18" spans="1:1">
      <c r="A29" s="6" t="s">
        <v>371</v>
      </c>
    </row>
    <row r="30" spans="1:1">
      <c r="A30" s="7" t="s">
        <v>372</v>
      </c>
    </row>
    <row r="31" spans="1:1">
      <c r="A31" s="7" t="s">
        <v>373</v>
      </c>
    </row>
    <row r="32" spans="1:1">
      <c r="A32" s="7" t="s">
        <v>374</v>
      </c>
    </row>
    <row r="33" spans="1:1">
      <c r="A33" s="7" t="s">
        <v>375</v>
      </c>
    </row>
    <row r="34" spans="1:1">
      <c r="A34" s="7" t="s">
        <v>376</v>
      </c>
    </row>
    <row r="35" spans="1:1">
      <c r="A35" s="7" t="s">
        <v>377</v>
      </c>
    </row>
  </sheetData>
  <mergeCells count="2">
    <mergeCell ref="A1:D1"/>
    <mergeCell ref="A2:D2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2E75B6"/>
  </sheetPr>
  <dimension ref="A1:B25"/>
  <sheetViews>
    <sheetView workbookViewId="0">
      <selection activeCell="B20" sqref="B20"/>
    </sheetView>
  </sheetViews>
  <sheetFormatPr defaultColWidth="9" defaultRowHeight="14.4" outlineLevelCol="1"/>
  <sheetData>
    <row r="1" ht="21" spans="1:1">
      <c r="A1" s="1" t="s">
        <v>378</v>
      </c>
    </row>
    <row r="22" spans="1:2">
      <c r="A22" t="s">
        <v>43</v>
      </c>
      <c r="B22" t="s">
        <v>379</v>
      </c>
    </row>
    <row r="23" spans="1:2">
      <c r="A23" t="s">
        <v>50</v>
      </c>
      <c r="B23">
        <f>COUNTIF('Invoice Log'!H:H,"Paid")</f>
        <v>21</v>
      </c>
    </row>
    <row r="24" spans="1:2">
      <c r="A24" t="s">
        <v>22</v>
      </c>
      <c r="B24">
        <f>COUNTIF('Invoice Log'!H:H,"Outstanding")</f>
        <v>3</v>
      </c>
    </row>
    <row r="25" spans="1:2">
      <c r="A25" t="s">
        <v>118</v>
      </c>
      <c r="B25">
        <f>COUNTIF('Invoice Log'!H:H,"Overdue")</f>
        <v>1</v>
      </c>
    </row>
  </sheetData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Dashboard</vt:lpstr>
      <vt:lpstr>Invoice Log</vt:lpstr>
      <vt:lpstr>Client Database</vt:lpstr>
      <vt:lpstr>Invoice Template</vt:lpstr>
      <vt:lpstr>Payment Tracker</vt:lpstr>
      <vt:lpstr>Service Catalog</vt:lpstr>
      <vt:lpstr>Reports</vt:lpstr>
      <vt:lpstr>Instructions</vt:lpstr>
      <vt:lpstr>Charts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企业用户_464106794</cp:lastModifiedBy>
  <dcterms:created xsi:type="dcterms:W3CDTF">2026-08-07T16:41:00Z</dcterms:created>
  <dcterms:modified xsi:type="dcterms:W3CDTF">2026-08-08T15:40:29Z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72A88331968F48FB88B702E1586D2F7E_13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