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Dashboard" sheetId="1" r:id="rId1"/>
    <sheet name="Task List" sheetId="2" r:id="rId2"/>
    <sheet name="Categories" sheetId="3" r:id="rId3"/>
    <sheet name="Projects" sheetId="4" r:id="rId4"/>
    <sheet name="Goals" sheetId="5" r:id="rId5"/>
    <sheet name="Weekly Planner" sheetId="6" r:id="rId6"/>
    <sheet name="Reports" sheetId="7" r:id="rId7"/>
    <sheet name="Charts" sheetId="8" r:id="rId8"/>
    <sheet name="Instruction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<sst xmlns="http://schemas.openxmlformats.org/spreadsheetml/2006/main" count="398" uniqueCount="225">
  <si>
    <t>📋 To-Do List Pro — Dashboard</t>
  </si>
  <si>
    <t>Your personal productivity command center</t>
  </si>
  <si>
    <t>Total Tasks</t>
  </si>
  <si>
    <t>Completed</t>
  </si>
  <si>
    <t>In Progress</t>
  </si>
  <si>
    <t>Not Started</t>
  </si>
  <si>
    <t>Overdue</t>
  </si>
  <si>
    <t>Completion Rate</t>
  </si>
  <si>
    <t>High Priority</t>
  </si>
  <si>
    <t>Due This Week</t>
  </si>
  <si>
    <t>All tasks</t>
  </si>
  <si>
    <t>Done!</t>
  </si>
  <si>
    <t>Keep going</t>
  </si>
  <si>
    <t>To do</t>
  </si>
  <si>
    <t>Action needed!</t>
  </si>
  <si>
    <t>Overall progress</t>
  </si>
  <si>
    <t>Urgent tasks</t>
  </si>
  <si>
    <t>Upcoming</t>
  </si>
  <si>
    <t>📊 Tasks by Category</t>
  </si>
  <si>
    <t>Category</t>
  </si>
  <si>
    <t>Total</t>
  </si>
  <si>
    <t>Work</t>
  </si>
  <si>
    <t>Personal</t>
  </si>
  <si>
    <t>Health &amp; Fitness</t>
  </si>
  <si>
    <t>Finance</t>
  </si>
  <si>
    <t>Learning</t>
  </si>
  <si>
    <t>Home</t>
  </si>
  <si>
    <t>Shopping</t>
  </si>
  <si>
    <t>Social</t>
  </si>
  <si>
    <t>📝 Task List — All Your To-Do Items</t>
  </si>
  <si>
    <t>Task Description</t>
  </si>
  <si>
    <t>Priority</t>
  </si>
  <si>
    <t>Status</t>
  </si>
  <si>
    <t>Due Date</t>
  </si>
  <si>
    <t>Due Status</t>
  </si>
  <si>
    <t>Assigned To</t>
  </si>
  <si>
    <t>Notes</t>
  </si>
  <si>
    <t>Date Added</t>
  </si>
  <si>
    <t>Finish quarterly report</t>
  </si>
  <si>
    <t>High</t>
  </si>
  <si>
    <t>John</t>
  </si>
  <si>
    <t>Due Friday</t>
  </si>
  <si>
    <t>Prepare team meeting agenda</t>
  </si>
  <si>
    <t>Medium</t>
  </si>
  <si>
    <t>Done</t>
  </si>
  <si>
    <t>Review project proposal</t>
  </si>
  <si>
    <t>Sarah</t>
  </si>
  <si>
    <t>Client review</t>
  </si>
  <si>
    <t>Update CRM database</t>
  </si>
  <si>
    <t>Low</t>
  </si>
  <si>
    <t>Mike</t>
  </si>
  <si>
    <t/>
  </si>
  <si>
    <t>Send weekly newsletter</t>
  </si>
  <si>
    <t>Sent</t>
  </si>
  <si>
    <t>Schedule dentist appointment</t>
  </si>
  <si>
    <t>Self</t>
  </si>
  <si>
    <t>Plan weekend trip</t>
  </si>
  <si>
    <t>Research hotels</t>
  </si>
  <si>
    <t>Renew driver's license</t>
  </si>
  <si>
    <t>Expires next month</t>
  </si>
  <si>
    <t>Organize photo albums</t>
  </si>
  <si>
    <t>Call insurance company</t>
  </si>
  <si>
    <t>Go to gym 3x this week</t>
  </si>
  <si>
    <t>Mon/Wed/Fri</t>
  </si>
  <si>
    <t>Schedule annual physical</t>
  </si>
  <si>
    <t>Buy new running shoes</t>
  </si>
  <si>
    <t>Bought Nike</t>
  </si>
  <si>
    <t>Meal prep for the week</t>
  </si>
  <si>
    <t>Sunday prep</t>
  </si>
  <si>
    <t>Pay credit card bill</t>
  </si>
  <si>
    <t>Paid in full</t>
  </si>
  <si>
    <t>Review monthly budget</t>
  </si>
  <si>
    <t>File tax documents</t>
  </si>
  <si>
    <t>Need W-2</t>
  </si>
  <si>
    <t>Set up emergency fund</t>
  </si>
  <si>
    <t>$1000 goal</t>
  </si>
  <si>
    <t>Complete online course module 5</t>
  </si>
  <si>
    <t>Python course</t>
  </si>
  <si>
    <t>Read 30 pages of book</t>
  </si>
  <si>
    <t>Atomic Habits</t>
  </si>
  <si>
    <t>Practice Spanish 15 min/day</t>
  </si>
  <si>
    <t>Duolingo</t>
  </si>
  <si>
    <t>Fix leaky kitchen faucet</t>
  </si>
  <si>
    <t>Buy parts</t>
  </si>
  <si>
    <t>Clean garage</t>
  </si>
  <si>
    <t>Weekend project</t>
  </si>
  <si>
    <t>Buy birthday gift for mom</t>
  </si>
  <si>
    <t>Birthday next week</t>
  </si>
  <si>
    <t>Order groceries online</t>
  </si>
  <si>
    <t>Weekly order</t>
  </si>
  <si>
    <t>🏷️ Task Categories</t>
  </si>
  <si>
    <t>Description</t>
  </si>
  <si>
    <t>Color Code</t>
  </si>
  <si>
    <t>Task Count</t>
  </si>
  <si>
    <t>Professional tasks, meetings, projects</t>
  </si>
  <si>
    <t>🔵 Blue</t>
  </si>
  <si>
    <t>Personal errands, appointments, hobbies</t>
  </si>
  <si>
    <t>🟢 Green</t>
  </si>
  <si>
    <t>Exercise, medical, wellness activities</t>
  </si>
  <si>
    <t>🔴 Red</t>
  </si>
  <si>
    <t>Budgeting, bills, investments, taxes</t>
  </si>
  <si>
    <t>🟡 Yellow</t>
  </si>
  <si>
    <t>Courses, reading, skill development</t>
  </si>
  <si>
    <t>🟣 Purple</t>
  </si>
  <si>
    <t>Household chores, maintenance, repairs</t>
  </si>
  <si>
    <t>🟠 Orange</t>
  </si>
  <si>
    <t>Purchases, orders, gift buying</t>
  </si>
  <si>
    <t>⚪ White</t>
  </si>
  <si>
    <t>Friends, family events, networking</t>
  </si>
  <si>
    <t>🟤 Brown</t>
  </si>
  <si>
    <t>📁 Project Tracker — Group Tasks by Project</t>
  </si>
  <si>
    <t>Project Name</t>
  </si>
  <si>
    <t>Start Date</t>
  </si>
  <si>
    <t>Progress</t>
  </si>
  <si>
    <t>Website Redesign</t>
  </si>
  <si>
    <t>Redesign company website</t>
  </si>
  <si>
    <t>Launch prep</t>
  </si>
  <si>
    <t>Q2 Marketing Campaign</t>
  </si>
  <si>
    <t>Plan and execute Q2 marketing</t>
  </si>
  <si>
    <t>In planning</t>
  </si>
  <si>
    <t>Home Renovation</t>
  </si>
  <si>
    <t>Kitchen and bathroom remodel</t>
  </si>
  <si>
    <t>Contractor hired</t>
  </si>
  <si>
    <t>Fitness Challenge</t>
  </si>
  <si>
    <t>30-day fitness challenge</t>
  </si>
  <si>
    <t>Week 2</t>
  </si>
  <si>
    <t>Tax Preparation</t>
  </si>
  <si>
    <t>File 2024 taxes</t>
  </si>
  <si>
    <t>Gathering docs</t>
  </si>
  <si>
    <t>Learn Python</t>
  </si>
  <si>
    <t>Complete Python bootcamp</t>
  </si>
  <si>
    <t>Module 5/12</t>
  </si>
  <si>
    <t>Birthday Party Planning</t>
  </si>
  <si>
    <t>Plan mom's 60th birthday</t>
  </si>
  <si>
    <t>Venue booked</t>
  </si>
  <si>
    <t>🎯 Goal Tracker — Long-Term Objectives</t>
  </si>
  <si>
    <t>Goal</t>
  </si>
  <si>
    <t>Target Date</t>
  </si>
  <si>
    <t>Milestones</t>
  </si>
  <si>
    <t>Run a marathon</t>
  </si>
  <si>
    <t>Training plan started</t>
  </si>
  <si>
    <t>Save $10,000</t>
  </si>
  <si>
    <t>$2,500 saved</t>
  </si>
  <si>
    <t>Learn Spanish</t>
  </si>
  <si>
    <t>Duolingo streak: 45 days</t>
  </si>
  <si>
    <t>Get promoted</t>
  </si>
  <si>
    <t>Completed 2 certifications</t>
  </si>
  <si>
    <t>Read 24 books</t>
  </si>
  <si>
    <t>8 books done</t>
  </si>
  <si>
    <t>Lose 20 lbs</t>
  </si>
  <si>
    <t>12 lbs lost</t>
  </si>
  <si>
    <t>Start side business</t>
  </si>
  <si>
    <t>Planning</t>
  </si>
  <si>
    <t>Research phase</t>
  </si>
  <si>
    <t>Travel to Japan</t>
  </si>
  <si>
    <t>Saving for trip</t>
  </si>
  <si>
    <t>📅 Weekly Planner — Plan Your Week</t>
  </si>
  <si>
    <t>Day</t>
  </si>
  <si>
    <t>Date</t>
  </si>
  <si>
    <t>Top 3 Priorities</t>
  </si>
  <si>
    <t>Tasks Completed</t>
  </si>
  <si>
    <t>Tasks Pending</t>
  </si>
  <si>
    <t>Monday</t>
  </si>
  <si>
    <t>Tuesday</t>
  </si>
  <si>
    <t>Wednesday</t>
  </si>
  <si>
    <t>Thursday</t>
  </si>
  <si>
    <t>Friday</t>
  </si>
  <si>
    <t>Saturday</t>
  </si>
  <si>
    <t>Sunday</t>
  </si>
  <si>
    <t>📊 Weekly Summary</t>
  </si>
  <si>
    <t>Total Tasks Planned:</t>
  </si>
  <si>
    <t>Total Completed:</t>
  </si>
  <si>
    <t>Completion Rate:</t>
  </si>
  <si>
    <t>📊 Productivity Reports</t>
  </si>
  <si>
    <t>Tasks by Priority</t>
  </si>
  <si>
    <t>Count</t>
  </si>
  <si>
    <t>Percentage</t>
  </si>
  <si>
    <t>Tasks by Status</t>
  </si>
  <si>
    <t>Overdue Tasks by Category</t>
  </si>
  <si>
    <t>Overdue Rate</t>
  </si>
  <si>
    <t>📈 Visual Analytics</t>
  </si>
  <si>
    <t>📖 How to Use To-Do List Pro</t>
  </si>
  <si>
    <t>Step</t>
  </si>
  <si>
    <t>Action</t>
  </si>
  <si>
    <t>Details</t>
  </si>
  <si>
    <t>Tip</t>
  </si>
  <si>
    <t>1</t>
  </si>
  <si>
    <t>Add Tasks</t>
  </si>
  <si>
    <t>Go to Task List sheet and add your tasks with category, priority, due date</t>
  </si>
  <si>
    <t>Use dropdown menus for consistency</t>
  </si>
  <si>
    <t>2</t>
  </si>
  <si>
    <t>Set Priorities</t>
  </si>
  <si>
    <t>Mark each task as High, Medium, or Low priority</t>
  </si>
  <si>
    <t>High = urgent, Medium = important, Low = nice to have</t>
  </si>
  <si>
    <t>3</t>
  </si>
  <si>
    <t>Track Status</t>
  </si>
  <si>
    <t>Update status as you work: Not Started → In Progress → Completed</t>
  </si>
  <si>
    <t>Color coding updates automatically</t>
  </si>
  <si>
    <t>4</t>
  </si>
  <si>
    <t>Monitor Dashboard</t>
  </si>
  <si>
    <t>Check Dashboard daily for overview of all tasks and completion rates</t>
  </si>
  <si>
    <t>Focus on overdue items first</t>
  </si>
  <si>
    <t>5</t>
  </si>
  <si>
    <t>Plan Your Week</t>
  </si>
  <si>
    <t>Use Weekly Planner to organize tasks by day</t>
  </si>
  <si>
    <t>Put hardest tasks on your most productive day</t>
  </si>
  <si>
    <t>6</t>
  </si>
  <si>
    <t>Track Projects</t>
  </si>
  <si>
    <t>Group related tasks in Projects sheet</t>
  </si>
  <si>
    <t>See progress bars for each project</t>
  </si>
  <si>
    <t>7</t>
  </si>
  <si>
    <t>Set Goals</t>
  </si>
  <si>
    <t>Add long-term goals in Goals sheet with milestones</t>
  </si>
  <si>
    <t>Break big goals into smaller tasks</t>
  </si>
  <si>
    <t>8</t>
  </si>
  <si>
    <t>Review Reports</t>
  </si>
  <si>
    <t>Check Reports and Charts weekly for insights</t>
  </si>
  <si>
    <t>Identify patterns and adjust your approach</t>
  </si>
  <si>
    <t>💡 Pro Tips for Maximum Productivity</t>
  </si>
  <si>
    <t>✅ Review your task list every morning and prioritize the top 3 items</t>
  </si>
  <si>
    <t>✅ Break large tasks into smaller, actionable steps</t>
  </si>
  <si>
    <t>✅ Set realistic due dates — it's better to under-promise and over-deliver</t>
  </si>
  <si>
    <t>✅ Use the 'Due Soon' alert to stay ahead of deadlines</t>
  </si>
  <si>
    <t>✅ Celebrate completed tasks — it motivates you to keep going</t>
  </si>
  <si>
    <t>✅ Review your Goals sheet monthly to ensure daily tasks align with long-term objectives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</si>
</sst>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yy"/>
  </numFmts>
  <fonts count="31">
    <font>
      <sz val="11"/>
      <color theme="1"/>
      <name val="宋体"/>
      <charset val="134"/>
      <scheme val="minor"/>
    </font>
    <font>
      <b/>
      <sz val="14"/>
      <color rgb="FF1F3864"/>
      <name val="Calibri"/>
      <charset val="134"/>
    </font>
    <font>
      <b/>
      <sz val="11"/>
      <color rgb="FFFFFFFF"/>
      <name val="Calibri"/>
      <charset val="134"/>
    </font>
    <font>
      <b/>
      <sz val="14"/>
      <color rgb="FF2B579A"/>
      <name val="Calibri"/>
      <charset val="134"/>
    </font>
    <font>
      <b/>
      <sz val="11"/>
      <name val="Calibri"/>
      <charset val="134"/>
    </font>
    <font>
      <sz val="11"/>
      <name val="Calibri"/>
      <charset val="134"/>
    </font>
    <font>
      <i/>
      <sz val="11"/>
      <color rgb="FF548235"/>
      <name val="Calibri"/>
      <charset val="134"/>
    </font>
    <font>
      <b/>
      <sz val="12"/>
      <color rgb="FF2B579A"/>
      <name val="Calibri"/>
      <charset val="134"/>
    </font>
    <font>
      <b/>
      <sz val="16"/>
      <color rgb="FF1F3864"/>
      <name val="Calibri"/>
      <charset val="134"/>
    </font>
    <font>
      <i/>
      <sz val="11"/>
      <color rgb="FF666666"/>
      <name val="Calibri"/>
      <charset val="134"/>
    </font>
    <font>
      <b/>
      <sz val="10"/>
      <color rgb="FF2B579A"/>
      <name val="Calibri"/>
      <charset val="134"/>
    </font>
    <font>
      <i/>
      <sz val="9"/>
      <color rgb="FF666666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2B579A"/>
        <bgColor rgb="FF2B579A"/>
      </patternFill>
    </fill>
    <fill>
      <patternFill patternType="solid">
        <fgColor rgb="FFD6E4F0"/>
        <bgColor rgb="FFD6E4F0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22" fillId="10" borderId="5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9" fontId="5" fillId="0" borderId="0" xfId="0" applyNumberFormat="1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6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D6E4F0"/>
          <bgColor rgb="FFD6E4F0"/>
        </patternFill>
      </fill>
    </dxf>
    <dxf>
      <font>
        <b val="1"/>
        <color rgb="FFC00000"/>
      </font>
      <fill>
        <patternFill patternType="solid">
          <fgColor rgb="FFFFC7CE"/>
          <bgColor rgb="FFFFC7CE"/>
        </patternFill>
      </fill>
    </dxf>
    <dxf>
      <font>
        <b val="1"/>
        <color rgb="FF996600"/>
      </font>
      <fill>
        <patternFill patternType="solid">
          <fgColor rgb="FFFFF2CC"/>
          <bgColor rgb="FFFFF2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Tasks by Category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Dashboard!$B$9</c:f>
              <c:strCache>
                <c:ptCount val="1"/>
                <c:pt idx="0">
                  <c:v>Total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Dashboard!$A$10:$A$17</c:f>
              <c:strCache>
                <c:ptCount val="8"/>
                <c:pt idx="0">
                  <c:v>Work</c:v>
                </c:pt>
                <c:pt idx="1">
                  <c:v>Personal</c:v>
                </c:pt>
                <c:pt idx="2">
                  <c:v>Health &amp; Fitness</c:v>
                </c:pt>
                <c:pt idx="3">
                  <c:v>Finance</c:v>
                </c:pt>
                <c:pt idx="4">
                  <c:v>Learning</c:v>
                </c:pt>
                <c:pt idx="5">
                  <c:v>Home</c:v>
                </c:pt>
                <c:pt idx="6">
                  <c:v>Shopping</c:v>
                </c:pt>
                <c:pt idx="7">
                  <c:v>Social</c:v>
                </c:pt>
              </c:strCache>
            </c:strRef>
          </c:cat>
          <c:val>
            <c:numRef>
              <c:f>Dashboard!$B$10:$B$17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Number of Tasks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a026afd-5d79-44a0-82e2-d623d8e9d74f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Tasks by Priority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Reports!$B$4</c:f>
              <c:strCache>
                <c:ptCount val="1"/>
                <c:pt idx="0">
                  <c:v>Count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explosion val="0"/>
          <c:dPt>
            <c:idx val="0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1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2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Reports!$A$5:$A$7</c:f>
              <c:strCache>
                <c:ptCount val="3"/>
                <c:pt idx="0">
                  <c:v>High</c:v>
                </c:pt>
                <c:pt idx="1">
                  <c:v>Medium</c:v>
                </c:pt>
                <c:pt idx="2">
                  <c:v>Low</c:v>
                </c:pt>
              </c:strCache>
            </c:strRef>
          </c:cat>
          <c:val>
            <c:numRef>
              <c:f>Reports!$B$5:$B$7</c:f>
              <c:numCache>
                <c:formatCode>General</c:formatCode>
                <c:ptCount val="3"/>
                <c:pt idx="0">
                  <c:v>7</c:v>
                </c:pt>
                <c:pt idx="1">
                  <c:v>11</c:v>
                </c:pt>
                <c:pt idx="2">
                  <c:v>7</c:v>
                </c:pt>
              </c:numCache>
            </c:numRef>
          </c:val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650c434-d4ab-48f4-b1d5-b9b30ef1d803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Tasks by Status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Reports!$B$10</c:f>
              <c:strCache>
                <c:ptCount val="1"/>
                <c:pt idx="0">
                  <c:v>Count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explosion val="0"/>
          <c:dPt>
            <c:idx val="0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1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2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Reports!$A$11:$A$13</c:f>
              <c:strCache>
                <c:ptCount val="3"/>
                <c:pt idx="0">
                  <c:v>Not Started</c:v>
                </c:pt>
                <c:pt idx="1">
                  <c:v>In Progress</c:v>
                </c:pt>
                <c:pt idx="2">
                  <c:v>Completed</c:v>
                </c:pt>
              </c:strCache>
            </c:strRef>
          </c:cat>
          <c:val>
            <c:numRef>
              <c:f>Reports!$B$11:$B$13</c:f>
              <c:numCache>
                <c:formatCode>General</c:formatCode>
                <c:ptCount val="3"/>
                <c:pt idx="0">
                  <c:v>11</c:v>
                </c:pt>
                <c:pt idx="1">
                  <c:v>8</c:v>
                </c:pt>
                <c:pt idx="2">
                  <c:v>6</c:v>
                </c:pt>
              </c:numCache>
            </c:numRef>
          </c:val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f354cdf2-086d-4d0f-a7c4-95e4549a6609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2</xdr:row>
      <xdr:rowOff>0</xdr:rowOff>
    </xdr:from>
    <xdr:ext cx="6480000" cy="4152360"/>
    <xdr:graphicFrame>
      <xdr:nvGraphicFramePr>
        <xdr:cNvPr id="2" name="Chart 1"/>
        <xdr:cNvGraphicFramePr/>
      </xdr:nvGraphicFramePr>
      <xdr:xfrm>
        <a:off x="0" y="411480"/>
        <a:ext cx="6479540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0</xdr:colOff>
      <xdr:row>19</xdr:row>
      <xdr:rowOff>0</xdr:rowOff>
    </xdr:from>
    <xdr:ext cx="5040000" cy="4152360"/>
    <xdr:graphicFrame>
      <xdr:nvGraphicFramePr>
        <xdr:cNvPr id="3" name="Chart 2"/>
        <xdr:cNvGraphicFramePr/>
      </xdr:nvGraphicFramePr>
      <xdr:xfrm>
        <a:off x="0" y="3520440"/>
        <a:ext cx="5039995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7</xdr:col>
      <xdr:colOff>0</xdr:colOff>
      <xdr:row>19</xdr:row>
      <xdr:rowOff>0</xdr:rowOff>
    </xdr:from>
    <xdr:ext cx="5040000" cy="4152360"/>
    <xdr:graphicFrame>
      <xdr:nvGraphicFramePr>
        <xdr:cNvPr id="4" name="Chart 3"/>
        <xdr:cNvGraphicFramePr/>
      </xdr:nvGraphicFramePr>
      <xdr:xfrm>
        <a:off x="4526280" y="3520440"/>
        <a:ext cx="5039995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B579A"/>
  </sheetPr>
  <dimension ref="A1:J17"/>
  <sheetViews>
    <sheetView tabSelected="1" workbookViewId="0">
      <pane ySplit="6" topLeftCell="A7" activePane="bottomLeft" state="frozen"/>
      <selection/>
      <selection pane="bottomLeft" activeCell="A1" sqref="A1:J1"/>
    </sheetView>
  </sheetViews>
  <sheetFormatPr defaultColWidth="9" defaultRowHeight="14.4"/>
  <cols>
    <col min="1" max="1" width="18" customWidth="1"/>
    <col min="2" max="10" width="14" customWidth="1"/>
  </cols>
  <sheetData>
    <row r="1" ht="35" customHeight="1" spans="1:1">
      <c r="A1" s="20" t="s">
        <v>0</v>
      </c>
    </row>
    <row r="2" spans="1:1">
      <c r="A2" s="21" t="s">
        <v>1</v>
      </c>
    </row>
    <row r="4" spans="1:8">
      <c r="A4" s="22" t="s">
        <v>2</v>
      </c>
      <c r="B4" s="23" t="s">
        <v>3</v>
      </c>
      <c r="C4" s="22" t="s">
        <v>4</v>
      </c>
      <c r="D4" s="24" t="s">
        <v>5</v>
      </c>
      <c r="E4" s="25" t="s">
        <v>6</v>
      </c>
      <c r="F4" s="23" t="s">
        <v>7</v>
      </c>
      <c r="G4" s="25" t="s">
        <v>8</v>
      </c>
      <c r="H4" s="26" t="s">
        <v>9</v>
      </c>
    </row>
    <row r="5" ht="30" customHeight="1" spans="1:8">
      <c r="A5" s="27">
        <f>COUNTA('Task List'!B3:B100)</f>
        <v>25</v>
      </c>
      <c r="B5" s="28">
        <f>COUNTIF('Task List'!D3:D100,"Completed")</f>
        <v>6</v>
      </c>
      <c r="C5" s="27">
        <f>COUNTIF('Task List'!D3:D100,"In Progress")</f>
        <v>8</v>
      </c>
      <c r="D5" s="29">
        <f>COUNTIF('Task List'!D3:D100,"Not Started")</f>
        <v>11</v>
      </c>
      <c r="E5" s="30">
        <f ca="1">COUNTIF('Task List'!F3:F100,"Overdue")</f>
        <v>7</v>
      </c>
      <c r="F5" s="31">
        <f>IFERROR(COUNTIF('Task List'!D3:D100,"Completed")/COUNTA('Task List'!B3:B100),0)</f>
        <v>0.24</v>
      </c>
      <c r="G5" s="30">
        <f>COUNTIF('Task List'!C3:C100,"High")</f>
        <v>7</v>
      </c>
      <c r="H5" s="32">
        <f>COUNTIF('Task List'!E3:E100,"This Week")</f>
        <v>0</v>
      </c>
    </row>
    <row r="6" spans="1:8">
      <c r="A6" s="33" t="s">
        <v>10</v>
      </c>
      <c r="B6" s="34" t="s">
        <v>11</v>
      </c>
      <c r="C6" s="33" t="s">
        <v>12</v>
      </c>
      <c r="D6" s="35" t="s">
        <v>13</v>
      </c>
      <c r="E6" s="36" t="s">
        <v>14</v>
      </c>
      <c r="F6" s="34" t="s">
        <v>15</v>
      </c>
      <c r="G6" s="36" t="s">
        <v>16</v>
      </c>
      <c r="H6" s="37" t="s">
        <v>17</v>
      </c>
    </row>
    <row r="8" ht="15.6" spans="1:1">
      <c r="A8" s="7" t="s">
        <v>18</v>
      </c>
    </row>
    <row r="9" ht="28.8" spans="1:6">
      <c r="A9" s="2" t="s">
        <v>19</v>
      </c>
      <c r="B9" s="2" t="s">
        <v>20</v>
      </c>
      <c r="C9" s="2" t="s">
        <v>3</v>
      </c>
      <c r="D9" s="2" t="s">
        <v>4</v>
      </c>
      <c r="E9" s="2" t="s">
        <v>5</v>
      </c>
      <c r="F9" s="2" t="s">
        <v>7</v>
      </c>
    </row>
    <row r="10" spans="1:6">
      <c r="A10" s="5" t="s">
        <v>21</v>
      </c>
      <c r="B10" s="9">
        <f>COUNTIF('Task List'!A3:A100,"Work")</f>
        <v>5</v>
      </c>
      <c r="C10" s="9">
        <f>COUNTIFS('Task List'!A3:A100,"Work",'Task List'!D3:D100,"Completed")</f>
        <v>2</v>
      </c>
      <c r="D10" s="9">
        <f>COUNTIFS('Task List'!A3:A100,"Work",'Task List'!D3:D100,"In Progress")</f>
        <v>2</v>
      </c>
      <c r="E10" s="9">
        <f>COUNTIFS('Task List'!A3:A100,"Work",'Task List'!D3:D100,"Not Started")</f>
        <v>1</v>
      </c>
      <c r="F10" s="10">
        <f t="shared" ref="F10:F17" si="0">IFERROR(C10/B10,0)</f>
        <v>0.4</v>
      </c>
    </row>
    <row r="11" spans="1:6">
      <c r="A11" s="5" t="s">
        <v>22</v>
      </c>
      <c r="B11" s="9">
        <f>COUNTIF('Task List'!A3:A100,"Personal")</f>
        <v>5</v>
      </c>
      <c r="C11" s="9">
        <f>COUNTIFS('Task List'!A3:A100,"Personal",'Task List'!D3:D100,"Completed")</f>
        <v>1</v>
      </c>
      <c r="D11" s="9">
        <f>COUNTIFS('Task List'!A3:A100,"Personal",'Task List'!D3:D100,"In Progress")</f>
        <v>1</v>
      </c>
      <c r="E11" s="9">
        <f>COUNTIFS('Task List'!A3:A100,"Personal",'Task List'!D3:D100,"Not Started")</f>
        <v>3</v>
      </c>
      <c r="F11" s="10">
        <f t="shared" si="0"/>
        <v>0.2</v>
      </c>
    </row>
    <row r="12" spans="1:6">
      <c r="A12" s="5" t="s">
        <v>23</v>
      </c>
      <c r="B12" s="9">
        <f>COUNTIF('Task List'!A3:A100,"Health &amp; Fitness")</f>
        <v>4</v>
      </c>
      <c r="C12" s="9">
        <f>COUNTIFS('Task List'!A3:A100,"Health &amp; Fitness",'Task List'!D3:D100,"Completed")</f>
        <v>1</v>
      </c>
      <c r="D12" s="9">
        <f>COUNTIFS('Task List'!A3:A100,"Health &amp; Fitness",'Task List'!D3:D100,"In Progress")</f>
        <v>2</v>
      </c>
      <c r="E12" s="9">
        <f>COUNTIFS('Task List'!A3:A100,"Health &amp; Fitness",'Task List'!D3:D100,"Not Started")</f>
        <v>1</v>
      </c>
      <c r="F12" s="10">
        <f t="shared" si="0"/>
        <v>0.25</v>
      </c>
    </row>
    <row r="13" spans="1:6">
      <c r="A13" s="5" t="s">
        <v>24</v>
      </c>
      <c r="B13" s="9">
        <f>COUNTIF('Task List'!A3:A100,"Finance")</f>
        <v>4</v>
      </c>
      <c r="C13" s="9">
        <f>COUNTIFS('Task List'!A3:A100,"Finance",'Task List'!D3:D100,"Completed")</f>
        <v>1</v>
      </c>
      <c r="D13" s="9">
        <f>COUNTIFS('Task List'!A3:A100,"Finance",'Task List'!D3:D100,"In Progress")</f>
        <v>1</v>
      </c>
      <c r="E13" s="9">
        <f>COUNTIFS('Task List'!A3:A100,"Finance",'Task List'!D3:D100,"Not Started")</f>
        <v>2</v>
      </c>
      <c r="F13" s="10">
        <f t="shared" si="0"/>
        <v>0.25</v>
      </c>
    </row>
    <row r="14" spans="1:6">
      <c r="A14" s="5" t="s">
        <v>25</v>
      </c>
      <c r="B14" s="9">
        <f>COUNTIF('Task List'!A3:A100,"Learning")</f>
        <v>3</v>
      </c>
      <c r="C14" s="9">
        <f>COUNTIFS('Task List'!A3:A100,"Learning",'Task List'!D3:D100,"Completed")</f>
        <v>0</v>
      </c>
      <c r="D14" s="9">
        <f>COUNTIFS('Task List'!A3:A100,"Learning",'Task List'!D3:D100,"In Progress")</f>
        <v>2</v>
      </c>
      <c r="E14" s="9">
        <f>COUNTIFS('Task List'!A3:A100,"Learning",'Task List'!D3:D100,"Not Started")</f>
        <v>1</v>
      </c>
      <c r="F14" s="10">
        <f t="shared" si="0"/>
        <v>0</v>
      </c>
    </row>
    <row r="15" spans="1:6">
      <c r="A15" s="5" t="s">
        <v>26</v>
      </c>
      <c r="B15" s="9">
        <f>COUNTIF('Task List'!A3:A100,"Home")</f>
        <v>2</v>
      </c>
      <c r="C15" s="9">
        <f>COUNTIFS('Task List'!A3:A100,"Home",'Task List'!D3:D100,"Completed")</f>
        <v>0</v>
      </c>
      <c r="D15" s="9">
        <f>COUNTIFS('Task List'!A3:A100,"Home",'Task List'!D3:D100,"In Progress")</f>
        <v>0</v>
      </c>
      <c r="E15" s="9">
        <f>COUNTIFS('Task List'!A3:A100,"Home",'Task List'!D3:D100,"Not Started")</f>
        <v>2</v>
      </c>
      <c r="F15" s="10">
        <f t="shared" si="0"/>
        <v>0</v>
      </c>
    </row>
    <row r="16" spans="1:6">
      <c r="A16" s="5" t="s">
        <v>27</v>
      </c>
      <c r="B16" s="9">
        <f>COUNTIF('Task List'!A3:A100,"Shopping")</f>
        <v>2</v>
      </c>
      <c r="C16" s="9">
        <f>COUNTIFS('Task List'!A3:A100,"Shopping",'Task List'!D3:D100,"Completed")</f>
        <v>1</v>
      </c>
      <c r="D16" s="9">
        <f>COUNTIFS('Task List'!A3:A100,"Shopping",'Task List'!D3:D100,"In Progress")</f>
        <v>0</v>
      </c>
      <c r="E16" s="9">
        <f>COUNTIFS('Task List'!A3:A100,"Shopping",'Task List'!D3:D100,"Not Started")</f>
        <v>1</v>
      </c>
      <c r="F16" s="10">
        <f t="shared" si="0"/>
        <v>0.5</v>
      </c>
    </row>
    <row r="17" spans="1:6">
      <c r="A17" s="5" t="s">
        <v>28</v>
      </c>
      <c r="B17" s="9">
        <f>COUNTIF('Task List'!A3:A100,"Social")</f>
        <v>0</v>
      </c>
      <c r="C17" s="9">
        <f>COUNTIFS('Task List'!A3:A100,"Social",'Task List'!D3:D100,"Completed")</f>
        <v>0</v>
      </c>
      <c r="D17" s="9">
        <f>COUNTIFS('Task List'!A3:A100,"Social",'Task List'!D3:D100,"In Progress")</f>
        <v>0</v>
      </c>
      <c r="E17" s="9">
        <f>COUNTIFS('Task List'!A3:A100,"Social",'Task List'!D3:D100,"Not Started")</f>
        <v>0</v>
      </c>
      <c r="F17" s="10">
        <f t="shared" si="0"/>
        <v>0</v>
      </c>
    </row>
  </sheetData>
  <mergeCells count="3">
    <mergeCell ref="A1:J1"/>
    <mergeCell ref="A2:J2"/>
    <mergeCell ref="A8:J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548235"/>
  </sheetPr>
  <dimension ref="A1:I27"/>
  <sheetViews>
    <sheetView workbookViewId="0">
      <pane ySplit="2" topLeftCell="A3" activePane="bottomLeft" state="frozen"/>
      <selection/>
      <selection pane="bottomLeft" activeCell="A1" sqref="A1:I1"/>
    </sheetView>
  </sheetViews>
  <sheetFormatPr defaultColWidth="9" defaultRowHeight="14.4"/>
  <cols>
    <col min="1" max="1" width="16" customWidth="1"/>
    <col min="2" max="2" width="35" customWidth="1"/>
    <col min="3" max="3" width="12" customWidth="1"/>
    <col min="4" max="7" width="14" customWidth="1"/>
    <col min="8" max="8" width="25" customWidth="1"/>
    <col min="9" max="9" width="14" customWidth="1"/>
  </cols>
  <sheetData>
    <row r="1" ht="30" customHeight="1" spans="1:1">
      <c r="A1" s="1" t="s">
        <v>29</v>
      </c>
    </row>
    <row r="2" spans="1:9">
      <c r="A2" s="2" t="s">
        <v>19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</row>
    <row r="3" spans="1:9">
      <c r="A3" s="5" t="s">
        <v>21</v>
      </c>
      <c r="B3" s="5" t="s">
        <v>38</v>
      </c>
      <c r="C3" s="9" t="s">
        <v>39</v>
      </c>
      <c r="D3" s="9" t="s">
        <v>4</v>
      </c>
      <c r="E3" s="12">
        <v>46248</v>
      </c>
      <c r="F3" s="9" t="str">
        <f ca="1" t="shared" ref="F3:F27" si="0">IF(D3="Completed","Done",IF(E3&lt;TODAY(),"Overdue",IF(E3-TODAY()&lt;=7,"Due Soon","On Track")))</f>
        <v>Overdue</v>
      </c>
      <c r="G3" s="9" t="s">
        <v>40</v>
      </c>
      <c r="H3" s="5" t="s">
        <v>41</v>
      </c>
      <c r="I3" s="12">
        <v>46221</v>
      </c>
    </row>
    <row r="4" spans="1:9">
      <c r="A4" s="5" t="s">
        <v>21</v>
      </c>
      <c r="B4" s="5" t="s">
        <v>42</v>
      </c>
      <c r="C4" s="9" t="s">
        <v>43</v>
      </c>
      <c r="D4" s="9" t="s">
        <v>3</v>
      </c>
      <c r="E4" s="12">
        <v>46245</v>
      </c>
      <c r="F4" s="9" t="str">
        <f ca="1" t="shared" si="0"/>
        <v>Done</v>
      </c>
      <c r="G4" s="9" t="s">
        <v>40</v>
      </c>
      <c r="H4" s="5" t="s">
        <v>44</v>
      </c>
      <c r="I4" s="12">
        <v>46222</v>
      </c>
    </row>
    <row r="5" spans="1:9">
      <c r="A5" s="5" t="s">
        <v>21</v>
      </c>
      <c r="B5" s="5" t="s">
        <v>45</v>
      </c>
      <c r="C5" s="9" t="s">
        <v>39</v>
      </c>
      <c r="D5" s="9" t="s">
        <v>5</v>
      </c>
      <c r="E5" s="12">
        <v>46251</v>
      </c>
      <c r="F5" s="9" t="str">
        <f ca="1" t="shared" si="0"/>
        <v>Overdue</v>
      </c>
      <c r="G5" s="9" t="s">
        <v>46</v>
      </c>
      <c r="H5" s="5" t="s">
        <v>47</v>
      </c>
      <c r="I5" s="12">
        <v>46223</v>
      </c>
    </row>
    <row r="6" spans="1:9">
      <c r="A6" s="5" t="s">
        <v>21</v>
      </c>
      <c r="B6" s="5" t="s">
        <v>48</v>
      </c>
      <c r="C6" s="9" t="s">
        <v>49</v>
      </c>
      <c r="D6" s="9" t="s">
        <v>4</v>
      </c>
      <c r="E6" s="12">
        <v>46253</v>
      </c>
      <c r="F6" s="9" t="str">
        <f ca="1" t="shared" si="0"/>
        <v>Due Soon</v>
      </c>
      <c r="G6" s="9" t="s">
        <v>50</v>
      </c>
      <c r="H6" s="5" t="s">
        <v>51</v>
      </c>
      <c r="I6" s="12">
        <v>46224</v>
      </c>
    </row>
    <row r="7" spans="1:9">
      <c r="A7" s="5" t="s">
        <v>21</v>
      </c>
      <c r="B7" s="5" t="s">
        <v>52</v>
      </c>
      <c r="C7" s="9" t="s">
        <v>43</v>
      </c>
      <c r="D7" s="9" t="s">
        <v>3</v>
      </c>
      <c r="E7" s="12">
        <v>46243</v>
      </c>
      <c r="F7" s="9" t="str">
        <f ca="1" t="shared" si="0"/>
        <v>Done</v>
      </c>
      <c r="G7" s="9" t="s">
        <v>46</v>
      </c>
      <c r="H7" s="5" t="s">
        <v>53</v>
      </c>
      <c r="I7" s="12">
        <v>46225</v>
      </c>
    </row>
    <row r="8" spans="1:9">
      <c r="A8" s="5" t="s">
        <v>22</v>
      </c>
      <c r="B8" s="5" t="s">
        <v>54</v>
      </c>
      <c r="C8" s="9" t="s">
        <v>43</v>
      </c>
      <c r="D8" s="9" t="s">
        <v>5</v>
      </c>
      <c r="E8" s="12">
        <v>46256</v>
      </c>
      <c r="F8" s="9" t="str">
        <f ca="1" t="shared" si="0"/>
        <v>Due Soon</v>
      </c>
      <c r="G8" s="9" t="s">
        <v>55</v>
      </c>
      <c r="H8" s="5" t="s">
        <v>51</v>
      </c>
      <c r="I8" s="12">
        <v>46226</v>
      </c>
    </row>
    <row r="9" spans="1:9">
      <c r="A9" s="5" t="s">
        <v>22</v>
      </c>
      <c r="B9" s="5" t="s">
        <v>56</v>
      </c>
      <c r="C9" s="9" t="s">
        <v>49</v>
      </c>
      <c r="D9" s="9" t="s">
        <v>4</v>
      </c>
      <c r="E9" s="12">
        <v>46260</v>
      </c>
      <c r="F9" s="9" t="str">
        <f ca="1" t="shared" si="0"/>
        <v>Due Soon</v>
      </c>
      <c r="G9" s="9" t="s">
        <v>55</v>
      </c>
      <c r="H9" s="5" t="s">
        <v>57</v>
      </c>
      <c r="I9" s="12">
        <v>46227</v>
      </c>
    </row>
    <row r="10" spans="1:9">
      <c r="A10" s="5" t="s">
        <v>22</v>
      </c>
      <c r="B10" s="5" t="s">
        <v>58</v>
      </c>
      <c r="C10" s="9" t="s">
        <v>39</v>
      </c>
      <c r="D10" s="9" t="s">
        <v>5</v>
      </c>
      <c r="E10" s="12">
        <v>46276</v>
      </c>
      <c r="F10" s="9" t="str">
        <f ca="1" t="shared" si="0"/>
        <v>On Track</v>
      </c>
      <c r="G10" s="9" t="s">
        <v>55</v>
      </c>
      <c r="H10" s="5" t="s">
        <v>59</v>
      </c>
      <c r="I10" s="12">
        <v>46228</v>
      </c>
    </row>
    <row r="11" spans="1:9">
      <c r="A11" s="5" t="s">
        <v>22</v>
      </c>
      <c r="B11" s="5" t="s">
        <v>60</v>
      </c>
      <c r="C11" s="9" t="s">
        <v>49</v>
      </c>
      <c r="D11" s="9" t="s">
        <v>5</v>
      </c>
      <c r="E11" s="12">
        <v>46267</v>
      </c>
      <c r="F11" s="9" t="str">
        <f ca="1" t="shared" si="0"/>
        <v>On Track</v>
      </c>
      <c r="G11" s="9" t="s">
        <v>55</v>
      </c>
      <c r="H11" s="5" t="s">
        <v>51</v>
      </c>
      <c r="I11" s="12">
        <v>46229</v>
      </c>
    </row>
    <row r="12" spans="1:9">
      <c r="A12" s="5" t="s">
        <v>22</v>
      </c>
      <c r="B12" s="5" t="s">
        <v>61</v>
      </c>
      <c r="C12" s="9" t="s">
        <v>43</v>
      </c>
      <c r="D12" s="9" t="s">
        <v>3</v>
      </c>
      <c r="E12" s="12">
        <v>46241</v>
      </c>
      <c r="F12" s="9" t="str">
        <f ca="1" t="shared" si="0"/>
        <v>Done</v>
      </c>
      <c r="G12" s="9" t="s">
        <v>55</v>
      </c>
      <c r="H12" s="5" t="s">
        <v>44</v>
      </c>
      <c r="I12" s="12">
        <v>46230</v>
      </c>
    </row>
    <row r="13" spans="1:9">
      <c r="A13" s="5" t="s">
        <v>23</v>
      </c>
      <c r="B13" s="5" t="s">
        <v>62</v>
      </c>
      <c r="C13" s="9" t="s">
        <v>39</v>
      </c>
      <c r="D13" s="9" t="s">
        <v>4</v>
      </c>
      <c r="E13" s="12">
        <v>46250</v>
      </c>
      <c r="F13" s="9" t="str">
        <f ca="1" t="shared" si="0"/>
        <v>Overdue</v>
      </c>
      <c r="G13" s="9" t="s">
        <v>55</v>
      </c>
      <c r="H13" s="5" t="s">
        <v>63</v>
      </c>
      <c r="I13" s="12">
        <v>46231</v>
      </c>
    </row>
    <row r="14" spans="1:9">
      <c r="A14" s="5" t="s">
        <v>23</v>
      </c>
      <c r="B14" s="5" t="s">
        <v>64</v>
      </c>
      <c r="C14" s="9" t="s">
        <v>43</v>
      </c>
      <c r="D14" s="9" t="s">
        <v>5</v>
      </c>
      <c r="E14" s="12">
        <v>46261</v>
      </c>
      <c r="F14" s="9" t="str">
        <f ca="1" t="shared" si="0"/>
        <v>On Track</v>
      </c>
      <c r="G14" s="9" t="s">
        <v>55</v>
      </c>
      <c r="H14" s="5" t="s">
        <v>51</v>
      </c>
      <c r="I14" s="12">
        <v>46232</v>
      </c>
    </row>
    <row r="15" spans="1:9">
      <c r="A15" s="5" t="s">
        <v>23</v>
      </c>
      <c r="B15" s="5" t="s">
        <v>65</v>
      </c>
      <c r="C15" s="9" t="s">
        <v>49</v>
      </c>
      <c r="D15" s="9" t="s">
        <v>3</v>
      </c>
      <c r="E15" s="12">
        <v>46244</v>
      </c>
      <c r="F15" s="9" t="str">
        <f ca="1" t="shared" si="0"/>
        <v>Done</v>
      </c>
      <c r="G15" s="9" t="s">
        <v>55</v>
      </c>
      <c r="H15" s="5" t="s">
        <v>66</v>
      </c>
      <c r="I15" s="12">
        <v>46233</v>
      </c>
    </row>
    <row r="16" spans="1:9">
      <c r="A16" s="5" t="s">
        <v>23</v>
      </c>
      <c r="B16" s="5" t="s">
        <v>67</v>
      </c>
      <c r="C16" s="9" t="s">
        <v>43</v>
      </c>
      <c r="D16" s="9" t="s">
        <v>4</v>
      </c>
      <c r="E16" s="12">
        <v>46247</v>
      </c>
      <c r="F16" s="9" t="str">
        <f ca="1" t="shared" si="0"/>
        <v>Overdue</v>
      </c>
      <c r="G16" s="9" t="s">
        <v>55</v>
      </c>
      <c r="H16" s="5" t="s">
        <v>68</v>
      </c>
      <c r="I16" s="12">
        <v>46234</v>
      </c>
    </row>
    <row r="17" spans="1:9">
      <c r="A17" s="5" t="s">
        <v>24</v>
      </c>
      <c r="B17" s="5" t="s">
        <v>69</v>
      </c>
      <c r="C17" s="9" t="s">
        <v>39</v>
      </c>
      <c r="D17" s="9" t="s">
        <v>3</v>
      </c>
      <c r="E17" s="12">
        <v>46245</v>
      </c>
      <c r="F17" s="9" t="str">
        <f ca="1" t="shared" si="0"/>
        <v>Done</v>
      </c>
      <c r="G17" s="9" t="s">
        <v>55</v>
      </c>
      <c r="H17" s="5" t="s">
        <v>70</v>
      </c>
      <c r="I17" s="12">
        <v>46235</v>
      </c>
    </row>
    <row r="18" spans="1:9">
      <c r="A18" s="5" t="s">
        <v>24</v>
      </c>
      <c r="B18" s="5" t="s">
        <v>71</v>
      </c>
      <c r="C18" s="9" t="s">
        <v>43</v>
      </c>
      <c r="D18" s="9" t="s">
        <v>5</v>
      </c>
      <c r="E18" s="12">
        <v>46249</v>
      </c>
      <c r="F18" s="9" t="str">
        <f ca="1" t="shared" si="0"/>
        <v>Overdue</v>
      </c>
      <c r="G18" s="9" t="s">
        <v>55</v>
      </c>
      <c r="H18" s="5" t="s">
        <v>51</v>
      </c>
      <c r="I18" s="12">
        <v>46236</v>
      </c>
    </row>
    <row r="19" spans="1:9">
      <c r="A19" s="5" t="s">
        <v>24</v>
      </c>
      <c r="B19" s="5" t="s">
        <v>72</v>
      </c>
      <c r="C19" s="9" t="s">
        <v>39</v>
      </c>
      <c r="D19" s="9" t="s">
        <v>4</v>
      </c>
      <c r="E19" s="12">
        <v>46266</v>
      </c>
      <c r="F19" s="9" t="str">
        <f ca="1" t="shared" si="0"/>
        <v>On Track</v>
      </c>
      <c r="G19" s="9" t="s">
        <v>55</v>
      </c>
      <c r="H19" s="5" t="s">
        <v>73</v>
      </c>
      <c r="I19" s="12">
        <v>46237</v>
      </c>
    </row>
    <row r="20" spans="1:9">
      <c r="A20" s="5" t="s">
        <v>24</v>
      </c>
      <c r="B20" s="5" t="s">
        <v>74</v>
      </c>
      <c r="C20" s="9" t="s">
        <v>43</v>
      </c>
      <c r="D20" s="9" t="s">
        <v>5</v>
      </c>
      <c r="E20" s="12">
        <v>46276</v>
      </c>
      <c r="F20" s="9" t="str">
        <f ca="1" t="shared" si="0"/>
        <v>On Track</v>
      </c>
      <c r="G20" s="9" t="s">
        <v>55</v>
      </c>
      <c r="H20" s="5" t="s">
        <v>75</v>
      </c>
      <c r="I20" s="12">
        <v>46238</v>
      </c>
    </row>
    <row r="21" spans="1:9">
      <c r="A21" s="5" t="s">
        <v>25</v>
      </c>
      <c r="B21" s="5" t="s">
        <v>76</v>
      </c>
      <c r="C21" s="9" t="s">
        <v>43</v>
      </c>
      <c r="D21" s="9" t="s">
        <v>4</v>
      </c>
      <c r="E21" s="12">
        <v>46253</v>
      </c>
      <c r="F21" s="9" t="str">
        <f ca="1" t="shared" si="0"/>
        <v>Due Soon</v>
      </c>
      <c r="G21" s="9" t="s">
        <v>55</v>
      </c>
      <c r="H21" s="5" t="s">
        <v>77</v>
      </c>
      <c r="I21" s="12">
        <v>46239</v>
      </c>
    </row>
    <row r="22" spans="1:9">
      <c r="A22" s="5" t="s">
        <v>25</v>
      </c>
      <c r="B22" s="5" t="s">
        <v>78</v>
      </c>
      <c r="C22" s="9" t="s">
        <v>49</v>
      </c>
      <c r="D22" s="9" t="s">
        <v>5</v>
      </c>
      <c r="E22" s="12">
        <v>46249</v>
      </c>
      <c r="F22" s="9" t="str">
        <f ca="1" t="shared" si="0"/>
        <v>Overdue</v>
      </c>
      <c r="G22" s="9" t="s">
        <v>55</v>
      </c>
      <c r="H22" s="5" t="s">
        <v>79</v>
      </c>
      <c r="I22" s="12">
        <v>46240</v>
      </c>
    </row>
    <row r="23" spans="1:9">
      <c r="A23" s="5" t="s">
        <v>25</v>
      </c>
      <c r="B23" s="5" t="s">
        <v>80</v>
      </c>
      <c r="C23" s="9" t="s">
        <v>49</v>
      </c>
      <c r="D23" s="9" t="s">
        <v>4</v>
      </c>
      <c r="E23" s="12">
        <v>46276</v>
      </c>
      <c r="F23" s="9" t="str">
        <f ca="1" t="shared" si="0"/>
        <v>On Track</v>
      </c>
      <c r="G23" s="9" t="s">
        <v>55</v>
      </c>
      <c r="H23" s="5" t="s">
        <v>81</v>
      </c>
      <c r="I23" s="12">
        <v>46241</v>
      </c>
    </row>
    <row r="24" spans="1:9">
      <c r="A24" s="5" t="s">
        <v>26</v>
      </c>
      <c r="B24" s="5" t="s">
        <v>82</v>
      </c>
      <c r="C24" s="9" t="s">
        <v>43</v>
      </c>
      <c r="D24" s="9" t="s">
        <v>5</v>
      </c>
      <c r="E24" s="12">
        <v>46253</v>
      </c>
      <c r="F24" s="9" t="str">
        <f ca="1" t="shared" si="0"/>
        <v>Due Soon</v>
      </c>
      <c r="G24" s="9" t="s">
        <v>55</v>
      </c>
      <c r="H24" s="5" t="s">
        <v>83</v>
      </c>
      <c r="I24" s="12">
        <v>46242</v>
      </c>
    </row>
    <row r="25" spans="1:9">
      <c r="A25" s="5" t="s">
        <v>26</v>
      </c>
      <c r="B25" s="5" t="s">
        <v>84</v>
      </c>
      <c r="C25" s="9" t="s">
        <v>49</v>
      </c>
      <c r="D25" s="9" t="s">
        <v>5</v>
      </c>
      <c r="E25" s="12">
        <v>46260</v>
      </c>
      <c r="F25" s="9" t="str">
        <f ca="1" t="shared" si="0"/>
        <v>Due Soon</v>
      </c>
      <c r="G25" s="9" t="s">
        <v>55</v>
      </c>
      <c r="H25" s="5" t="s">
        <v>85</v>
      </c>
      <c r="I25" s="12">
        <v>46243</v>
      </c>
    </row>
    <row r="26" spans="1:9">
      <c r="A26" s="5" t="s">
        <v>27</v>
      </c>
      <c r="B26" s="5" t="s">
        <v>86</v>
      </c>
      <c r="C26" s="9" t="s">
        <v>39</v>
      </c>
      <c r="D26" s="9" t="s">
        <v>5</v>
      </c>
      <c r="E26" s="12">
        <v>46251</v>
      </c>
      <c r="F26" s="9" t="str">
        <f ca="1" t="shared" si="0"/>
        <v>Overdue</v>
      </c>
      <c r="G26" s="9" t="s">
        <v>55</v>
      </c>
      <c r="H26" s="5" t="s">
        <v>87</v>
      </c>
      <c r="I26" s="12">
        <v>46244</v>
      </c>
    </row>
    <row r="27" spans="1:9">
      <c r="A27" s="5" t="s">
        <v>27</v>
      </c>
      <c r="B27" s="5" t="s">
        <v>88</v>
      </c>
      <c r="C27" s="9" t="s">
        <v>43</v>
      </c>
      <c r="D27" s="9" t="s">
        <v>3</v>
      </c>
      <c r="E27" s="12">
        <v>46245</v>
      </c>
      <c r="F27" s="9" t="str">
        <f ca="1" t="shared" si="0"/>
        <v>Done</v>
      </c>
      <c r="G27" s="9" t="s">
        <v>55</v>
      </c>
      <c r="H27" s="5" t="s">
        <v>89</v>
      </c>
      <c r="I27" s="12">
        <v>46245</v>
      </c>
    </row>
  </sheetData>
  <mergeCells count="1">
    <mergeCell ref="A1:I1"/>
  </mergeCells>
  <conditionalFormatting sqref="C3:C100">
    <cfRule type="cellIs" dxfId="0" priority="1" operator="equal">
      <formula>"High"</formula>
    </cfRule>
    <cfRule type="cellIs" dxfId="1" priority="2" operator="equal">
      <formula>"Medium"</formula>
    </cfRule>
    <cfRule type="cellIs" dxfId="2" priority="3" operator="equal">
      <formula>"Low"</formula>
    </cfRule>
  </conditionalFormatting>
  <conditionalFormatting sqref="D3:D100">
    <cfRule type="cellIs" dxfId="2" priority="4" operator="equal">
      <formula>"Completed"</formula>
    </cfRule>
    <cfRule type="cellIs" dxfId="3" priority="5" operator="equal">
      <formula>"In Progress"</formula>
    </cfRule>
  </conditionalFormatting>
  <conditionalFormatting sqref="F3:F100">
    <cfRule type="cellIs" dxfId="4" priority="6" operator="equal">
      <formula>"Overdue"</formula>
    </cfRule>
    <cfRule type="cellIs" dxfId="5" priority="7" operator="equal">
      <formula>"Due Soon"</formula>
    </cfRule>
  </conditionalFormatting>
  <dataValidations count="3">
    <dataValidation type="list" allowBlank="1" prompt="Select a category" sqref="A3:A100">
      <formula1>"Work,Personal,Health &amp; Fitness,Finance,Learning,Home,Shopping,Social"</formula1>
    </dataValidation>
    <dataValidation type="list" allowBlank="1" prompt="Select priority" sqref="C3:C100">
      <formula1>"High,Medium,Low"</formula1>
    </dataValidation>
    <dataValidation type="list" allowBlank="1" prompt="Select status" sqref="D3:D100">
      <formula1>"Not Started,In Progress,Completed"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E10"/>
  <sheetViews>
    <sheetView workbookViewId="0">
      <pane ySplit="2" topLeftCell="A3" activePane="bottomLeft" state="frozen"/>
      <selection/>
      <selection pane="bottomLeft" activeCell="A1" sqref="A1:E1"/>
    </sheetView>
  </sheetViews>
  <sheetFormatPr defaultColWidth="9" defaultRowHeight="14.4" outlineLevelCol="4"/>
  <cols>
    <col min="1" max="1" width="18" customWidth="1"/>
    <col min="2" max="2" width="45" customWidth="1"/>
    <col min="3" max="4" width="14" customWidth="1"/>
    <col min="5" max="5" width="16" customWidth="1"/>
  </cols>
  <sheetData>
    <row r="1" ht="18" spans="1:1">
      <c r="A1" s="1" t="s">
        <v>90</v>
      </c>
    </row>
    <row r="2" spans="1:5">
      <c r="A2" s="2" t="s">
        <v>19</v>
      </c>
      <c r="B2" s="2" t="s">
        <v>91</v>
      </c>
      <c r="C2" s="2" t="s">
        <v>92</v>
      </c>
      <c r="D2" s="2" t="s">
        <v>93</v>
      </c>
      <c r="E2" s="2" t="s">
        <v>7</v>
      </c>
    </row>
    <row r="3" spans="1:5">
      <c r="A3" s="4" t="s">
        <v>21</v>
      </c>
      <c r="B3" s="5" t="s">
        <v>94</v>
      </c>
      <c r="C3" s="9" t="s">
        <v>95</v>
      </c>
      <c r="D3" s="9">
        <f>COUNTIF('Task List'!A3:A100,"Work")</f>
        <v>5</v>
      </c>
      <c r="E3" s="10">
        <f>IFERROR(COUNTIFS('Task List'!A3:A100,"Work",'Task List'!D3:D100,"Completed")/COUNTIF('Task List'!A3:A100,"Work"),0)</f>
        <v>0.4</v>
      </c>
    </row>
    <row r="4" spans="1:5">
      <c r="A4" s="4" t="s">
        <v>22</v>
      </c>
      <c r="B4" s="5" t="s">
        <v>96</v>
      </c>
      <c r="C4" s="9" t="s">
        <v>97</v>
      </c>
      <c r="D4" s="9">
        <f>COUNTIF('Task List'!A3:A100,"Personal")</f>
        <v>5</v>
      </c>
      <c r="E4" s="10">
        <f>IFERROR(COUNTIFS('Task List'!A3:A100,"Personal",'Task List'!D3:D100,"Completed")/COUNTIF('Task List'!A3:A100,"Personal"),0)</f>
        <v>0.2</v>
      </c>
    </row>
    <row r="5" spans="1:5">
      <c r="A5" s="4" t="s">
        <v>23</v>
      </c>
      <c r="B5" s="5" t="s">
        <v>98</v>
      </c>
      <c r="C5" s="9" t="s">
        <v>99</v>
      </c>
      <c r="D5" s="9">
        <f>COUNTIF('Task List'!A3:A100,"Health &amp; Fitness")</f>
        <v>4</v>
      </c>
      <c r="E5" s="10">
        <f>IFERROR(COUNTIFS('Task List'!A3:A100,"Health &amp; Fitness",'Task List'!D3:D100,"Completed")/COUNTIF('Task List'!A3:A100,"Health &amp; Fitness"),0)</f>
        <v>0.25</v>
      </c>
    </row>
    <row r="6" spans="1:5">
      <c r="A6" s="4" t="s">
        <v>24</v>
      </c>
      <c r="B6" s="5" t="s">
        <v>100</v>
      </c>
      <c r="C6" s="9" t="s">
        <v>101</v>
      </c>
      <c r="D6" s="9">
        <f>COUNTIF('Task List'!A3:A100,"Finance")</f>
        <v>4</v>
      </c>
      <c r="E6" s="10">
        <f>IFERROR(COUNTIFS('Task List'!A3:A100,"Finance",'Task List'!D3:D100,"Completed")/COUNTIF('Task List'!A3:A100,"Finance"),0)</f>
        <v>0.25</v>
      </c>
    </row>
    <row r="7" spans="1:5">
      <c r="A7" s="4" t="s">
        <v>25</v>
      </c>
      <c r="B7" s="5" t="s">
        <v>102</v>
      </c>
      <c r="C7" s="9" t="s">
        <v>103</v>
      </c>
      <c r="D7" s="9">
        <f>COUNTIF('Task List'!A3:A100,"Learning")</f>
        <v>3</v>
      </c>
      <c r="E7" s="10">
        <f>IFERROR(COUNTIFS('Task List'!A3:A100,"Learning",'Task List'!D3:D100,"Completed")/COUNTIF('Task List'!A3:A100,"Learning"),0)</f>
        <v>0</v>
      </c>
    </row>
    <row r="8" spans="1:5">
      <c r="A8" s="4" t="s">
        <v>26</v>
      </c>
      <c r="B8" s="5" t="s">
        <v>104</v>
      </c>
      <c r="C8" s="9" t="s">
        <v>105</v>
      </c>
      <c r="D8" s="9">
        <f>COUNTIF('Task List'!A3:A100,"Home")</f>
        <v>2</v>
      </c>
      <c r="E8" s="10">
        <f>IFERROR(COUNTIFS('Task List'!A3:A100,"Home",'Task List'!D3:D100,"Completed")/COUNTIF('Task List'!A3:A100,"Home"),0)</f>
        <v>0</v>
      </c>
    </row>
    <row r="9" spans="1:5">
      <c r="A9" s="4" t="s">
        <v>27</v>
      </c>
      <c r="B9" s="5" t="s">
        <v>106</v>
      </c>
      <c r="C9" s="9" t="s">
        <v>107</v>
      </c>
      <c r="D9" s="9">
        <f>COUNTIF('Task List'!A3:A100,"Shopping")</f>
        <v>2</v>
      </c>
      <c r="E9" s="10">
        <f>IFERROR(COUNTIFS('Task List'!A3:A100,"Shopping",'Task List'!D3:D100,"Completed")/COUNTIF('Task List'!A3:A100,"Shopping"),0)</f>
        <v>0.5</v>
      </c>
    </row>
    <row r="10" spans="1:5">
      <c r="A10" s="4" t="s">
        <v>28</v>
      </c>
      <c r="B10" s="5" t="s">
        <v>108</v>
      </c>
      <c r="C10" s="9" t="s">
        <v>109</v>
      </c>
      <c r="D10" s="9">
        <f>COUNTIF('Task List'!A3:A100,"Social")</f>
        <v>0</v>
      </c>
      <c r="E10" s="10">
        <f>IFERROR(COUNTIFS('Task List'!A3:A100,"Social",'Task List'!D3:D100,"Completed")/COUNTIF('Task List'!A3:A100,"Social"),0)</f>
        <v>0</v>
      </c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H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4.4" outlineLevelCol="7"/>
  <cols>
    <col min="1" max="1" width="22" customWidth="1"/>
    <col min="2" max="2" width="35" customWidth="1"/>
    <col min="3" max="4" width="14" customWidth="1"/>
    <col min="5" max="7" width="12" customWidth="1"/>
    <col min="8" max="8" width="18" customWidth="1"/>
  </cols>
  <sheetData>
    <row r="1" ht="18" spans="1:1">
      <c r="A1" s="1" t="s">
        <v>110</v>
      </c>
    </row>
    <row r="2" spans="1:8">
      <c r="A2" s="2" t="s">
        <v>111</v>
      </c>
      <c r="B2" s="2" t="s">
        <v>91</v>
      </c>
      <c r="C2" s="2" t="s">
        <v>112</v>
      </c>
      <c r="D2" s="2" t="s">
        <v>33</v>
      </c>
      <c r="E2" s="2" t="s">
        <v>2</v>
      </c>
      <c r="F2" s="2" t="s">
        <v>3</v>
      </c>
      <c r="G2" s="2" t="s">
        <v>113</v>
      </c>
      <c r="H2" s="2" t="s">
        <v>32</v>
      </c>
    </row>
    <row r="3" spans="1:8">
      <c r="A3" s="4" t="s">
        <v>114</v>
      </c>
      <c r="B3" s="5" t="s">
        <v>115</v>
      </c>
      <c r="C3" s="12">
        <v>46216</v>
      </c>
      <c r="D3" s="12">
        <v>46261</v>
      </c>
      <c r="E3" s="9">
        <f>COUNTIF('Task List'!H3:H100,"*Websi*")</f>
        <v>0</v>
      </c>
      <c r="F3" s="9">
        <f>COUNTIFS('Task List'!H3:H100,"*Websi*",'Task List'!D3:D100,"Completed")</f>
        <v>0</v>
      </c>
      <c r="G3" s="10">
        <f t="shared" ref="G3:G9" si="0">IFERROR(F3/E3,0)</f>
        <v>0</v>
      </c>
      <c r="H3" s="9" t="s">
        <v>116</v>
      </c>
    </row>
    <row r="4" spans="1:8">
      <c r="A4" s="4" t="s">
        <v>117</v>
      </c>
      <c r="B4" s="5" t="s">
        <v>118</v>
      </c>
      <c r="C4" s="12">
        <v>46232</v>
      </c>
      <c r="D4" s="12">
        <v>46276</v>
      </c>
      <c r="E4" s="9">
        <f>COUNTIF('Task List'!H3:H100,"*Q2 Ma*")</f>
        <v>0</v>
      </c>
      <c r="F4" s="9">
        <f>COUNTIFS('Task List'!H3:H100,"*Q2 Ma*",'Task List'!D3:D100,"Completed")</f>
        <v>0</v>
      </c>
      <c r="G4" s="10">
        <f t="shared" si="0"/>
        <v>0</v>
      </c>
      <c r="H4" s="9" t="s">
        <v>119</v>
      </c>
    </row>
    <row r="5" spans="1:8">
      <c r="A5" s="4" t="s">
        <v>120</v>
      </c>
      <c r="B5" s="5" t="s">
        <v>121</v>
      </c>
      <c r="C5" s="12">
        <v>46186</v>
      </c>
      <c r="D5" s="12">
        <v>46291</v>
      </c>
      <c r="E5" s="9">
        <f>COUNTIF('Task List'!H3:H100,"*Home *")</f>
        <v>0</v>
      </c>
      <c r="F5" s="9">
        <f>COUNTIFS('Task List'!H3:H100,"*Home *",'Task List'!D3:D100,"Completed")</f>
        <v>0</v>
      </c>
      <c r="G5" s="10">
        <f t="shared" si="0"/>
        <v>0</v>
      </c>
      <c r="H5" s="9" t="s">
        <v>122</v>
      </c>
    </row>
    <row r="6" spans="1:8">
      <c r="A6" s="4" t="s">
        <v>123</v>
      </c>
      <c r="B6" s="5" t="s">
        <v>124</v>
      </c>
      <c r="C6" s="12">
        <v>46236</v>
      </c>
      <c r="D6" s="12">
        <v>46266</v>
      </c>
      <c r="E6" s="9">
        <f>COUNTIF('Task List'!H3:H100,"*Fitne*")</f>
        <v>0</v>
      </c>
      <c r="F6" s="9">
        <f>COUNTIFS('Task List'!H3:H100,"*Fitne*",'Task List'!D3:D100,"Completed")</f>
        <v>0</v>
      </c>
      <c r="G6" s="10">
        <f t="shared" si="0"/>
        <v>0</v>
      </c>
      <c r="H6" s="9" t="s">
        <v>125</v>
      </c>
    </row>
    <row r="7" spans="1:8">
      <c r="A7" s="4" t="s">
        <v>126</v>
      </c>
      <c r="B7" s="5" t="s">
        <v>127</v>
      </c>
      <c r="C7" s="12">
        <v>46226</v>
      </c>
      <c r="D7" s="12">
        <v>46256</v>
      </c>
      <c r="E7" s="9">
        <f>COUNTIF('Task List'!H3:H100,"*Tax P*")</f>
        <v>0</v>
      </c>
      <c r="F7" s="9">
        <f>COUNTIFS('Task List'!H3:H100,"*Tax P*",'Task List'!D3:D100,"Completed")</f>
        <v>0</v>
      </c>
      <c r="G7" s="10">
        <f t="shared" si="0"/>
        <v>0</v>
      </c>
      <c r="H7" s="9" t="s">
        <v>128</v>
      </c>
    </row>
    <row r="8" spans="1:8">
      <c r="A8" s="4" t="s">
        <v>129</v>
      </c>
      <c r="B8" s="5" t="s">
        <v>130</v>
      </c>
      <c r="C8" s="12">
        <v>46201</v>
      </c>
      <c r="D8" s="12">
        <v>46276</v>
      </c>
      <c r="E8" s="9">
        <f>COUNTIF('Task List'!H3:H100,"*Learn*")</f>
        <v>0</v>
      </c>
      <c r="F8" s="9">
        <f>COUNTIFS('Task List'!H3:H100,"*Learn*",'Task List'!D3:D100,"Completed")</f>
        <v>0</v>
      </c>
      <c r="G8" s="10">
        <f t="shared" si="0"/>
        <v>0</v>
      </c>
      <c r="H8" s="9" t="s">
        <v>131</v>
      </c>
    </row>
    <row r="9" spans="1:8">
      <c r="A9" s="4" t="s">
        <v>132</v>
      </c>
      <c r="B9" s="5" t="s">
        <v>133</v>
      </c>
      <c r="C9" s="12">
        <v>46239</v>
      </c>
      <c r="D9" s="12">
        <v>46260</v>
      </c>
      <c r="E9" s="9">
        <f>COUNTIF('Task List'!H3:H100,"*Birth*")</f>
        <v>1</v>
      </c>
      <c r="F9" s="9">
        <f>COUNTIFS('Task List'!H3:H100,"*Birth*",'Task List'!D3:D100,"Completed")</f>
        <v>0</v>
      </c>
      <c r="G9" s="10">
        <f t="shared" si="0"/>
        <v>0</v>
      </c>
      <c r="H9" s="9" t="s">
        <v>134</v>
      </c>
    </row>
  </sheetData>
  <mergeCells count="1">
    <mergeCell ref="A1:H1"/>
  </mergeCells>
  <conditionalFormatting sqref="G3:G20">
    <cfRule type="dataBar" priority="1">
      <dataBar>
        <cfvo type="num" val="0"/>
        <cfvo type="num" val="1"/>
        <color rgb="FF548235"/>
      </dataBar>
      <extLst>
        <ext xmlns:x14="http://schemas.microsoft.com/office/spreadsheetml/2009/9/main" uri="{B025F937-C7B1-47D3-B67F-A62EFF666E3E}">
          <x14:id>{3b56b10a-7f98-4dbd-a564-69b52e32e98c}</x14:id>
        </ext>
      </extLst>
    </cfRule>
  </conditionalFormatting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b56b10a-7f98-4dbd-a564-69b52e32e98c}">
            <x14:dataBar minLength="10" maxLength="90" negativeBarColorSameAsPositive="1" axisPosition="none">
              <x14:cfvo type="num">
                <xm:f>0</xm:f>
              </x14:cfvo>
              <x14:cfvo type="num">
                <xm:f>1</xm:f>
              </x14:cfvo>
              <x14:axisColor indexed="65"/>
            </x14:dataBar>
          </x14:cfRule>
          <xm:sqref>G3:G20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548235"/>
  </sheetPr>
  <dimension ref="A1:G10"/>
  <sheetViews>
    <sheetView workbookViewId="0">
      <pane ySplit="2" topLeftCell="A3" activePane="bottomLeft" state="frozen"/>
      <selection/>
      <selection pane="bottomLeft" activeCell="A1" sqref="A1:G1"/>
    </sheetView>
  </sheetViews>
  <sheetFormatPr defaultColWidth="9" defaultRowHeight="14.4" outlineLevelCol="6"/>
  <cols>
    <col min="1" max="1" width="22" customWidth="1"/>
    <col min="2" max="2" width="16" customWidth="1"/>
    <col min="3" max="3" width="14" customWidth="1"/>
    <col min="4" max="5" width="12" customWidth="1"/>
    <col min="6" max="6" width="14" customWidth="1"/>
    <col min="7" max="7" width="28" customWidth="1"/>
  </cols>
  <sheetData>
    <row r="1" ht="18" spans="1:1">
      <c r="A1" s="1" t="s">
        <v>135</v>
      </c>
    </row>
    <row r="2" spans="1:7">
      <c r="A2" s="2" t="s">
        <v>136</v>
      </c>
      <c r="B2" s="2" t="s">
        <v>19</v>
      </c>
      <c r="C2" s="2" t="s">
        <v>137</v>
      </c>
      <c r="D2" s="2" t="s">
        <v>138</v>
      </c>
      <c r="E2" s="2" t="s">
        <v>113</v>
      </c>
      <c r="F2" s="2" t="s">
        <v>32</v>
      </c>
      <c r="G2" s="2" t="s">
        <v>36</v>
      </c>
    </row>
    <row r="3" spans="1:7">
      <c r="A3" s="4" t="s">
        <v>139</v>
      </c>
      <c r="B3" s="9" t="s">
        <v>23</v>
      </c>
      <c r="C3" s="12">
        <v>46426</v>
      </c>
      <c r="D3" s="9">
        <v>5</v>
      </c>
      <c r="E3" s="10">
        <v>0.4</v>
      </c>
      <c r="F3" s="9" t="s">
        <v>4</v>
      </c>
      <c r="G3" s="5" t="s">
        <v>140</v>
      </c>
    </row>
    <row r="4" spans="1:7">
      <c r="A4" s="4" t="s">
        <v>141</v>
      </c>
      <c r="B4" s="9" t="s">
        <v>24</v>
      </c>
      <c r="C4" s="12">
        <v>46611</v>
      </c>
      <c r="D4" s="9">
        <v>4</v>
      </c>
      <c r="E4" s="10">
        <v>0.25</v>
      </c>
      <c r="F4" s="9" t="s">
        <v>4</v>
      </c>
      <c r="G4" s="5" t="s">
        <v>142</v>
      </c>
    </row>
    <row r="5" spans="1:7">
      <c r="A5" s="4" t="s">
        <v>143</v>
      </c>
      <c r="B5" s="9" t="s">
        <v>25</v>
      </c>
      <c r="C5" s="12">
        <v>46516</v>
      </c>
      <c r="D5" s="9">
        <v>6</v>
      </c>
      <c r="E5" s="10">
        <v>0.3</v>
      </c>
      <c r="F5" s="9" t="s">
        <v>4</v>
      </c>
      <c r="G5" s="5" t="s">
        <v>144</v>
      </c>
    </row>
    <row r="6" spans="1:7">
      <c r="A6" s="4" t="s">
        <v>145</v>
      </c>
      <c r="B6" s="9" t="s">
        <v>21</v>
      </c>
      <c r="C6" s="12">
        <v>46611</v>
      </c>
      <c r="D6" s="9">
        <v>3</v>
      </c>
      <c r="E6" s="10">
        <v>0.5</v>
      </c>
      <c r="F6" s="9" t="s">
        <v>4</v>
      </c>
      <c r="G6" s="5" t="s">
        <v>146</v>
      </c>
    </row>
    <row r="7" spans="1:7">
      <c r="A7" s="4" t="s">
        <v>147</v>
      </c>
      <c r="B7" s="9" t="s">
        <v>25</v>
      </c>
      <c r="C7" s="12">
        <v>46546</v>
      </c>
      <c r="D7" s="9">
        <v>4</v>
      </c>
      <c r="E7" s="10">
        <v>0.33</v>
      </c>
      <c r="F7" s="9" t="s">
        <v>4</v>
      </c>
      <c r="G7" s="5" t="s">
        <v>148</v>
      </c>
    </row>
    <row r="8" spans="1:7">
      <c r="A8" s="4" t="s">
        <v>149</v>
      </c>
      <c r="B8" s="9" t="s">
        <v>23</v>
      </c>
      <c r="C8" s="12">
        <v>46396</v>
      </c>
      <c r="D8" s="9">
        <v>4</v>
      </c>
      <c r="E8" s="10">
        <v>0.6</v>
      </c>
      <c r="F8" s="9" t="s">
        <v>4</v>
      </c>
      <c r="G8" s="5" t="s">
        <v>150</v>
      </c>
    </row>
    <row r="9" spans="1:7">
      <c r="A9" s="4" t="s">
        <v>151</v>
      </c>
      <c r="B9" s="9" t="s">
        <v>21</v>
      </c>
      <c r="C9" s="12">
        <v>46486</v>
      </c>
      <c r="D9" s="9">
        <v>5</v>
      </c>
      <c r="E9" s="10">
        <v>0.2</v>
      </c>
      <c r="F9" s="9" t="s">
        <v>152</v>
      </c>
      <c r="G9" s="5" t="s">
        <v>153</v>
      </c>
    </row>
    <row r="10" spans="1:7">
      <c r="A10" s="4" t="s">
        <v>154</v>
      </c>
      <c r="B10" s="9" t="s">
        <v>22</v>
      </c>
      <c r="C10" s="12">
        <v>46611</v>
      </c>
      <c r="D10" s="9">
        <v>3</v>
      </c>
      <c r="E10" s="10">
        <v>0.1</v>
      </c>
      <c r="F10" s="9" t="s">
        <v>5</v>
      </c>
      <c r="G10" s="5" t="s">
        <v>155</v>
      </c>
    </row>
  </sheetData>
  <mergeCells count="1">
    <mergeCell ref="A1:G1"/>
  </mergeCells>
  <conditionalFormatting sqref="E3:E20">
    <cfRule type="dataBar" priority="1">
      <dataBar>
        <cfvo type="num" val="0"/>
        <cfvo type="num" val="1"/>
        <color rgb="FF2B579A"/>
      </dataBar>
      <extLst>
        <ext xmlns:x14="http://schemas.microsoft.com/office/spreadsheetml/2009/9/main" uri="{B025F937-C7B1-47D3-B67F-A62EFF666E3E}">
          <x14:id>{0c4470f2-dd28-4297-8be3-5b76d21f93d5}</x14:id>
        </ext>
      </extLst>
    </cfRule>
  </conditionalFormatting>
  <conditionalFormatting sqref="F3:F20">
    <cfRule type="cellIs" dxfId="2" priority="2" operator="equal">
      <formula>"Completed"</formula>
    </cfRule>
    <cfRule type="cellIs" dxfId="3" priority="3" operator="equal">
      <formula>"In Progress"</formula>
    </cfRule>
  </conditionalFormatting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4470f2-dd28-4297-8be3-5b76d21f93d5}">
            <x14:dataBar minLength="10" maxLength="90" negativeBarColorSameAsPositive="1" axisPosition="none">
              <x14:cfvo type="num">
                <xm:f>0</xm:f>
              </x14:cfvo>
              <x14:cfvo type="num">
                <xm:f>1</xm:f>
              </x14:cfvo>
              <x14:axisColor indexed="65"/>
            </x14:dataBar>
          </x14:cfRule>
          <xm:sqref>E3:E20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F14"/>
  <sheetViews>
    <sheetView workbookViewId="0">
      <pane ySplit="2" topLeftCell="A3" activePane="bottomLeft" state="frozen"/>
      <selection/>
      <selection pane="bottomLeft" activeCell="A1" sqref="A1:F1"/>
    </sheetView>
  </sheetViews>
  <sheetFormatPr defaultColWidth="9" defaultRowHeight="14.4" outlineLevelCol="5"/>
  <cols>
    <col min="1" max="2" width="14" customWidth="1"/>
    <col min="3" max="3" width="40" customWidth="1"/>
    <col min="4" max="5" width="16" customWidth="1"/>
    <col min="6" max="6" width="30" customWidth="1"/>
  </cols>
  <sheetData>
    <row r="1" ht="18" spans="1:1">
      <c r="A1" s="1" t="s">
        <v>156</v>
      </c>
    </row>
    <row r="2" spans="1:6">
      <c r="A2" s="2" t="s">
        <v>157</v>
      </c>
      <c r="B2" s="2" t="s">
        <v>158</v>
      </c>
      <c r="C2" s="2" t="s">
        <v>159</v>
      </c>
      <c r="D2" s="2" t="s">
        <v>160</v>
      </c>
      <c r="E2" s="2" t="s">
        <v>161</v>
      </c>
      <c r="F2" s="2" t="s">
        <v>36</v>
      </c>
    </row>
    <row r="3" spans="1:6">
      <c r="A3" s="11" t="s">
        <v>162</v>
      </c>
      <c r="B3" s="12">
        <v>46246</v>
      </c>
      <c r="C3" s="5" t="s">
        <v>51</v>
      </c>
      <c r="D3" s="9">
        <v>0</v>
      </c>
      <c r="E3" s="9">
        <v>0</v>
      </c>
      <c r="F3" s="5" t="s">
        <v>51</v>
      </c>
    </row>
    <row r="4" spans="1:6">
      <c r="A4" s="11" t="s">
        <v>163</v>
      </c>
      <c r="B4" s="12">
        <v>46247</v>
      </c>
      <c r="C4" s="5" t="s">
        <v>51</v>
      </c>
      <c r="D4" s="9">
        <v>0</v>
      </c>
      <c r="E4" s="9">
        <v>0</v>
      </c>
      <c r="F4" s="5" t="s">
        <v>51</v>
      </c>
    </row>
    <row r="5" spans="1:6">
      <c r="A5" s="11" t="s">
        <v>164</v>
      </c>
      <c r="B5" s="12">
        <v>46248</v>
      </c>
      <c r="C5" s="5" t="s">
        <v>51</v>
      </c>
      <c r="D5" s="9">
        <v>0</v>
      </c>
      <c r="E5" s="9">
        <v>0</v>
      </c>
      <c r="F5" s="5" t="s">
        <v>51</v>
      </c>
    </row>
    <row r="6" spans="1:6">
      <c r="A6" s="11" t="s">
        <v>165</v>
      </c>
      <c r="B6" s="12">
        <v>46249</v>
      </c>
      <c r="C6" s="5" t="s">
        <v>51</v>
      </c>
      <c r="D6" s="9">
        <v>0</v>
      </c>
      <c r="E6" s="9">
        <v>0</v>
      </c>
      <c r="F6" s="5" t="s">
        <v>51</v>
      </c>
    </row>
    <row r="7" spans="1:6">
      <c r="A7" s="11" t="s">
        <v>166</v>
      </c>
      <c r="B7" s="12">
        <v>46250</v>
      </c>
      <c r="C7" s="5" t="s">
        <v>51</v>
      </c>
      <c r="D7" s="9">
        <v>0</v>
      </c>
      <c r="E7" s="9">
        <v>0</v>
      </c>
      <c r="F7" s="5" t="s">
        <v>51</v>
      </c>
    </row>
    <row r="8" spans="1:6">
      <c r="A8" s="13" t="s">
        <v>167</v>
      </c>
      <c r="B8" s="14">
        <v>46251</v>
      </c>
      <c r="C8" s="15" t="s">
        <v>51</v>
      </c>
      <c r="D8" s="16">
        <v>0</v>
      </c>
      <c r="E8" s="16">
        <v>0</v>
      </c>
      <c r="F8" s="15" t="s">
        <v>51</v>
      </c>
    </row>
    <row r="9" spans="1:6">
      <c r="A9" s="13" t="s">
        <v>168</v>
      </c>
      <c r="B9" s="14">
        <v>46252</v>
      </c>
      <c r="C9" s="15" t="s">
        <v>51</v>
      </c>
      <c r="D9" s="16">
        <v>0</v>
      </c>
      <c r="E9" s="16">
        <v>0</v>
      </c>
      <c r="F9" s="15" t="s">
        <v>51</v>
      </c>
    </row>
    <row r="11" ht="15.6" spans="1:1">
      <c r="A11" s="7" t="s">
        <v>169</v>
      </c>
    </row>
    <row r="12" spans="1:2">
      <c r="A12" s="17" t="s">
        <v>170</v>
      </c>
      <c r="B12" s="18">
        <f>SUM(D3:D9)+SUM(E3:E9)</f>
        <v>0</v>
      </c>
    </row>
    <row r="13" spans="1:2">
      <c r="A13" s="17" t="s">
        <v>171</v>
      </c>
      <c r="B13" s="18">
        <f>SUM(D3:D9)</f>
        <v>0</v>
      </c>
    </row>
    <row r="14" spans="1:2">
      <c r="A14" s="17" t="s">
        <v>172</v>
      </c>
      <c r="B14" s="19">
        <f>IFERROR(B13/B12,0)</f>
        <v>0</v>
      </c>
    </row>
  </sheetData>
  <mergeCells count="2">
    <mergeCell ref="A1:F1"/>
    <mergeCell ref="A11:F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F25"/>
  <sheetViews>
    <sheetView workbookViewId="0">
      <pane ySplit="1" topLeftCell="A2" activePane="bottomLeft" state="frozen"/>
      <selection/>
      <selection pane="bottomLeft" activeCell="A1" sqref="A1:F1"/>
    </sheetView>
  </sheetViews>
  <sheetFormatPr defaultColWidth="9" defaultRowHeight="14.4" outlineLevelCol="5"/>
  <cols>
    <col min="1" max="1" width="18" customWidth="1"/>
    <col min="2" max="4" width="14" customWidth="1"/>
  </cols>
  <sheetData>
    <row r="1" ht="18" spans="1:1">
      <c r="A1" s="1" t="s">
        <v>173</v>
      </c>
    </row>
    <row r="3" ht="15.6" spans="1:1">
      <c r="A3" s="7" t="s">
        <v>174</v>
      </c>
    </row>
    <row r="4" spans="1:3">
      <c r="A4" s="2" t="s">
        <v>31</v>
      </c>
      <c r="B4" s="2" t="s">
        <v>175</v>
      </c>
      <c r="C4" s="2" t="s">
        <v>176</v>
      </c>
    </row>
    <row r="5" spans="1:3">
      <c r="A5" s="5" t="s">
        <v>39</v>
      </c>
      <c r="B5" s="9">
        <f>COUNTIF('Task List'!C3:C100,"High")</f>
        <v>7</v>
      </c>
      <c r="C5" s="10">
        <f>IFERROR(B5/SUM($B$5:$B$7),0)</f>
        <v>0.28</v>
      </c>
    </row>
    <row r="6" spans="1:3">
      <c r="A6" s="5" t="s">
        <v>43</v>
      </c>
      <c r="B6" s="9">
        <f>COUNTIF('Task List'!C3:C100,"Medium")</f>
        <v>11</v>
      </c>
      <c r="C6" s="10">
        <f>IFERROR(B6/SUM($B$5:$B$7),0)</f>
        <v>0.44</v>
      </c>
    </row>
    <row r="7" spans="1:3">
      <c r="A7" s="5" t="s">
        <v>49</v>
      </c>
      <c r="B7" s="9">
        <f>COUNTIF('Task List'!C3:C100,"Low")</f>
        <v>7</v>
      </c>
      <c r="C7" s="10">
        <f>IFERROR(B7/SUM($B$5:$B$7),0)</f>
        <v>0.28</v>
      </c>
    </row>
    <row r="9" ht="15.6" spans="1:1">
      <c r="A9" s="7" t="s">
        <v>177</v>
      </c>
    </row>
    <row r="10" spans="1:3">
      <c r="A10" s="2" t="s">
        <v>32</v>
      </c>
      <c r="B10" s="2" t="s">
        <v>175</v>
      </c>
      <c r="C10" s="2" t="s">
        <v>176</v>
      </c>
    </row>
    <row r="11" spans="1:3">
      <c r="A11" s="5" t="s">
        <v>5</v>
      </c>
      <c r="B11" s="9">
        <f>COUNTIF('Task List'!D3:D100,"Not Started")</f>
        <v>11</v>
      </c>
      <c r="C11" s="10">
        <f>IFERROR(B11/SUM($B$11:$B$13),0)</f>
        <v>0.44</v>
      </c>
    </row>
    <row r="12" spans="1:3">
      <c r="A12" s="5" t="s">
        <v>4</v>
      </c>
      <c r="B12" s="9">
        <f>COUNTIF('Task List'!D3:D100,"In Progress")</f>
        <v>8</v>
      </c>
      <c r="C12" s="10">
        <f>IFERROR(B12/SUM($B$11:$B$13),0)</f>
        <v>0.32</v>
      </c>
    </row>
    <row r="13" spans="1:3">
      <c r="A13" s="5" t="s">
        <v>3</v>
      </c>
      <c r="B13" s="9">
        <f>COUNTIF('Task List'!D3:D100,"Completed")</f>
        <v>6</v>
      </c>
      <c r="C13" s="10">
        <f>IFERROR(B13/SUM($B$11:$B$13),0)</f>
        <v>0.24</v>
      </c>
    </row>
    <row r="16" ht="15.6" spans="1:1">
      <c r="A16" s="7" t="s">
        <v>178</v>
      </c>
    </row>
    <row r="17" spans="1:4">
      <c r="A17" s="2" t="s">
        <v>19</v>
      </c>
      <c r="B17" s="2" t="s">
        <v>6</v>
      </c>
      <c r="C17" s="2" t="s">
        <v>20</v>
      </c>
      <c r="D17" s="2" t="s">
        <v>179</v>
      </c>
    </row>
    <row r="18" spans="1:4">
      <c r="A18" s="5" t="s">
        <v>21</v>
      </c>
      <c r="B18" s="9">
        <f ca="1">COUNTIFS('Task List'!A3:A100,"Work",'Task List'!F3:F100,"Overdue")</f>
        <v>2</v>
      </c>
      <c r="C18" s="9">
        <f>COUNTIF('Task List'!A3:A100,"Work")</f>
        <v>5</v>
      </c>
      <c r="D18" s="10">
        <f ca="1" t="shared" ref="D18:D25" si="0">IFERROR(B18/C18,0)</f>
        <v>0.4</v>
      </c>
    </row>
    <row r="19" spans="1:4">
      <c r="A19" s="5" t="s">
        <v>22</v>
      </c>
      <c r="B19" s="9">
        <f ca="1">COUNTIFS('Task List'!A3:A100,"Personal",'Task List'!F3:F100,"Overdue")</f>
        <v>0</v>
      </c>
      <c r="C19" s="9">
        <f>COUNTIF('Task List'!A3:A100,"Personal")</f>
        <v>5</v>
      </c>
      <c r="D19" s="10">
        <f ca="1" t="shared" si="0"/>
        <v>0</v>
      </c>
    </row>
    <row r="20" spans="1:4">
      <c r="A20" s="5" t="s">
        <v>23</v>
      </c>
      <c r="B20" s="9">
        <f ca="1">COUNTIFS('Task List'!A3:A100,"Health &amp; Fitness",'Task List'!F3:F100,"Overdue")</f>
        <v>2</v>
      </c>
      <c r="C20" s="9">
        <f>COUNTIF('Task List'!A3:A100,"Health &amp; Fitness")</f>
        <v>4</v>
      </c>
      <c r="D20" s="10">
        <f ca="1" t="shared" si="0"/>
        <v>0.5</v>
      </c>
    </row>
    <row r="21" spans="1:4">
      <c r="A21" s="5" t="s">
        <v>24</v>
      </c>
      <c r="B21" s="9">
        <f ca="1">COUNTIFS('Task List'!A3:A100,"Finance",'Task List'!F3:F100,"Overdue")</f>
        <v>1</v>
      </c>
      <c r="C21" s="9">
        <f>COUNTIF('Task List'!A3:A100,"Finance")</f>
        <v>4</v>
      </c>
      <c r="D21" s="10">
        <f ca="1" t="shared" si="0"/>
        <v>0.25</v>
      </c>
    </row>
    <row r="22" spans="1:4">
      <c r="A22" s="5" t="s">
        <v>25</v>
      </c>
      <c r="B22" s="9">
        <f ca="1">COUNTIFS('Task List'!A3:A100,"Learning",'Task List'!F3:F100,"Overdue")</f>
        <v>1</v>
      </c>
      <c r="C22" s="9">
        <f>COUNTIF('Task List'!A3:A100,"Learning")</f>
        <v>3</v>
      </c>
      <c r="D22" s="10">
        <f ca="1" t="shared" si="0"/>
        <v>0.333333333333333</v>
      </c>
    </row>
    <row r="23" spans="1:4">
      <c r="A23" s="5" t="s">
        <v>26</v>
      </c>
      <c r="B23" s="9">
        <f ca="1">COUNTIFS('Task List'!A3:A100,"Home",'Task List'!F3:F100,"Overdue")</f>
        <v>0</v>
      </c>
      <c r="C23" s="9">
        <f>COUNTIF('Task List'!A3:A100,"Home")</f>
        <v>2</v>
      </c>
      <c r="D23" s="10">
        <f ca="1" t="shared" si="0"/>
        <v>0</v>
      </c>
    </row>
    <row r="24" spans="1:4">
      <c r="A24" s="5" t="s">
        <v>27</v>
      </c>
      <c r="B24" s="9">
        <f ca="1">COUNTIFS('Task List'!A3:A100,"Shopping",'Task List'!F3:F100,"Overdue")</f>
        <v>1</v>
      </c>
      <c r="C24" s="9">
        <f>COUNTIF('Task List'!A3:A100,"Shopping")</f>
        <v>2</v>
      </c>
      <c r="D24" s="10">
        <f ca="1" t="shared" si="0"/>
        <v>0.5</v>
      </c>
    </row>
    <row r="25" spans="1:4">
      <c r="A25" s="5" t="s">
        <v>28</v>
      </c>
      <c r="B25" s="9">
        <f ca="1">COUNTIFS('Task List'!A3:A100,"Social",'Task List'!F3:F100,"Overdue")</f>
        <v>0</v>
      </c>
      <c r="C25" s="9">
        <f>COUNTIF('Task List'!A3:A100,"Social")</f>
        <v>0</v>
      </c>
      <c r="D25" s="10">
        <f ca="1" t="shared" si="0"/>
        <v>0</v>
      </c>
    </row>
  </sheetData>
  <mergeCells count="4">
    <mergeCell ref="A1:F1"/>
    <mergeCell ref="A3:C3"/>
    <mergeCell ref="A9:C9"/>
    <mergeCell ref="A16:D1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472C4"/>
  </sheetPr>
  <dimension ref="A1:L1"/>
  <sheetViews>
    <sheetView workbookViewId="0">
      <selection activeCell="A1" sqref="A1:L1"/>
    </sheetView>
  </sheetViews>
  <sheetFormatPr defaultColWidth="9" defaultRowHeight="14.4"/>
  <cols>
    <col min="1" max="1" width="12" customWidth="1"/>
  </cols>
  <sheetData>
    <row r="1" ht="18" spans="1:1">
      <c r="A1" s="1" t="s">
        <v>180</v>
      </c>
    </row>
  </sheetData>
  <mergeCells count="1">
    <mergeCell ref="A1:L1"/>
  </mergeCells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08080"/>
  </sheetPr>
  <dimension ref="A1:D18"/>
  <sheetViews>
    <sheetView workbookViewId="0">
      <selection activeCell="A1" sqref="A1:D1"/>
    </sheetView>
  </sheetViews>
  <sheetFormatPr defaultColWidth="9" defaultRowHeight="14.4" outlineLevelCol="3"/>
  <cols>
    <col min="1" max="1" width="8" customWidth="1"/>
    <col min="2" max="2" width="20" customWidth="1"/>
    <col min="3" max="3" width="50" customWidth="1"/>
    <col min="4" max="4" width="40" customWidth="1"/>
  </cols>
  <sheetData>
    <row r="1" ht="18" spans="1:1">
      <c r="A1" s="1" t="s">
        <v>181</v>
      </c>
    </row>
    <row r="2" spans="1:4">
      <c r="A2" s="2" t="s">
        <v>182</v>
      </c>
      <c r="B2" s="2" t="s">
        <v>183</v>
      </c>
      <c r="C2" s="2" t="s">
        <v>184</v>
      </c>
      <c r="D2" s="2" t="s">
        <v>185</v>
      </c>
    </row>
    <row r="3" ht="18" spans="1:4">
      <c r="A3" s="3" t="s">
        <v>186</v>
      </c>
      <c r="B3" s="4" t="s">
        <v>187</v>
      </c>
      <c r="C3" s="5" t="s">
        <v>188</v>
      </c>
      <c r="D3" s="6" t="s">
        <v>189</v>
      </c>
    </row>
    <row r="4" ht="18" spans="1:4">
      <c r="A4" s="3" t="s">
        <v>190</v>
      </c>
      <c r="B4" s="4" t="s">
        <v>191</v>
      </c>
      <c r="C4" s="5" t="s">
        <v>192</v>
      </c>
      <c r="D4" s="6" t="s">
        <v>193</v>
      </c>
    </row>
    <row r="5" ht="18" spans="1:4">
      <c r="A5" s="3" t="s">
        <v>194</v>
      </c>
      <c r="B5" s="4" t="s">
        <v>195</v>
      </c>
      <c r="C5" s="5" t="s">
        <v>196</v>
      </c>
      <c r="D5" s="6" t="s">
        <v>197</v>
      </c>
    </row>
    <row r="6" ht="18" spans="1:4">
      <c r="A6" s="3" t="s">
        <v>198</v>
      </c>
      <c r="B6" s="4" t="s">
        <v>199</v>
      </c>
      <c r="C6" s="5" t="s">
        <v>200</v>
      </c>
      <c r="D6" s="6" t="s">
        <v>201</v>
      </c>
    </row>
    <row r="7" ht="18" spans="1:4">
      <c r="A7" s="3" t="s">
        <v>202</v>
      </c>
      <c r="B7" s="4" t="s">
        <v>203</v>
      </c>
      <c r="C7" s="5" t="s">
        <v>204</v>
      </c>
      <c r="D7" s="6" t="s">
        <v>205</v>
      </c>
    </row>
    <row r="8" ht="18" spans="1:4">
      <c r="A8" s="3" t="s">
        <v>206</v>
      </c>
      <c r="B8" s="4" t="s">
        <v>207</v>
      </c>
      <c r="C8" s="5" t="s">
        <v>208</v>
      </c>
      <c r="D8" s="6" t="s">
        <v>209</v>
      </c>
    </row>
    <row r="9" ht="18" spans="1:4">
      <c r="A9" s="3" t="s">
        <v>210</v>
      </c>
      <c r="B9" s="4" t="s">
        <v>211</v>
      </c>
      <c r="C9" s="5" t="s">
        <v>212</v>
      </c>
      <c r="D9" s="6" t="s">
        <v>213</v>
      </c>
    </row>
    <row r="10" ht="18" spans="1:4">
      <c r="A10" s="3" t="s">
        <v>214</v>
      </c>
      <c r="B10" s="4" t="s">
        <v>215</v>
      </c>
      <c r="C10" s="5" t="s">
        <v>216</v>
      </c>
      <c r="D10" s="6" t="s">
        <v>217</v>
      </c>
    </row>
    <row r="12" ht="15.6" spans="1:1">
      <c r="A12" s="7" t="s">
        <v>218</v>
      </c>
    </row>
    <row r="13" spans="1:1">
      <c r="A13" s="8" t="s">
        <v>219</v>
      </c>
    </row>
    <row r="14" spans="1:1">
      <c r="A14" s="8" t="s">
        <v>220</v>
      </c>
    </row>
    <row r="15" spans="1:1">
      <c r="A15" s="8" t="s">
        <v>221</v>
      </c>
    </row>
    <row r="16" spans="1:1">
      <c r="A16" s="8" t="s">
        <v>222</v>
      </c>
    </row>
    <row r="17" spans="1:1">
      <c r="A17" s="8" t="s">
        <v>223</v>
      </c>
    </row>
    <row r="18" spans="1:1">
      <c r="A18" s="8" t="s">
        <v>224</v>
      </c>
    </row>
  </sheetData>
  <mergeCells count="8">
    <mergeCell ref="A1:D1"/>
    <mergeCell ref="A12:D12"/>
    <mergeCell ref="A13:D13"/>
    <mergeCell ref="A14:D14"/>
    <mergeCell ref="A15:D15"/>
    <mergeCell ref="A16:D16"/>
    <mergeCell ref="A17:D17"/>
    <mergeCell ref="A18:D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Dashboard</vt:lpstr>
      <vt:lpstr>Task List</vt:lpstr>
      <vt:lpstr>Categories</vt:lpstr>
      <vt:lpstr>Projects</vt:lpstr>
      <vt:lpstr>Goals</vt:lpstr>
      <vt:lpstr>Weekly Planner</vt:lpstr>
      <vt:lpstr>Reports</vt:lpstr>
      <vt:lpstr>Charts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企业用户_464106794</cp:lastModifiedBy>
  <dcterms:created xsi:type="dcterms:W3CDTF">2026-08-12T14:26:00Z</dcterms:created>
  <dcterms:modified xsi:type="dcterms:W3CDTF">2026-08-19T14:57:39Z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A64ED45E08424964A4523CC4C5D650B1_12</vt:lpwstr>
  </property>
  <property fmtid="{D5CDD505-2E9C-101B-9397-08002B2CF9AE}" pid="3" name="KSOProductBuildVer">
    <vt:lpwstr>2052-12.8.2.19823</vt:lpwstr>
  </property>
</Properties>
</file>